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esktop\INFORMACIÓN PÚBLICA\DICIEMBRE 2025\"/>
    </mc:Choice>
  </mc:AlternateContent>
  <xr:revisionPtr revIDLastSave="0" documentId="13_ncr:1_{3D274BE8-42E9-404C-83A7-C75205055EEA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EJECUCION" sheetId="1" r:id="rId1"/>
  </sheets>
  <definedNames>
    <definedName name="_xlnm.Print_Area" localSheetId="0">EJECUCION!$B$1:$AC$37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J17" i="1" l="1"/>
  <c r="J16" i="1"/>
  <c r="X36" i="1"/>
  <c r="Y36" i="1" s="1"/>
  <c r="Y35" i="1"/>
  <c r="Y34" i="1"/>
  <c r="X34" i="1"/>
  <c r="Y33" i="1"/>
  <c r="X33" i="1"/>
  <c r="X32" i="1"/>
  <c r="Y32" i="1" s="1"/>
  <c r="X31" i="1"/>
  <c r="Y31" i="1" s="1"/>
  <c r="Y30" i="1"/>
  <c r="X30" i="1"/>
  <c r="X29" i="1"/>
  <c r="Y29" i="1" s="1"/>
  <c r="Y28" i="1"/>
  <c r="X28" i="1"/>
  <c r="X27" i="1"/>
  <c r="Y27" i="1" s="1"/>
  <c r="X26" i="1"/>
  <c r="Y26" i="1" s="1"/>
  <c r="X25" i="1"/>
  <c r="Y25" i="1" s="1"/>
  <c r="X24" i="1"/>
  <c r="Y24" i="1" s="1"/>
  <c r="X23" i="1"/>
  <c r="Y23" i="1" s="1"/>
  <c r="Y21" i="1"/>
  <c r="X20" i="1"/>
  <c r="Y20" i="1" s="1"/>
  <c r="Y19" i="1"/>
  <c r="X19" i="1"/>
  <c r="X18" i="1"/>
  <c r="Y18" i="1" s="1"/>
  <c r="X16" i="1" l="1"/>
  <c r="X17" i="1"/>
  <c r="W18" i="1" l="1"/>
  <c r="V18" i="1"/>
  <c r="W20" i="1" l="1"/>
  <c r="V22" i="1" l="1"/>
  <c r="Y22" i="1" s="1"/>
  <c r="V17" i="1"/>
  <c r="V16" i="1"/>
  <c r="W16" i="1"/>
  <c r="W17" i="1"/>
  <c r="V20" i="1"/>
  <c r="O23" i="1" l="1"/>
  <c r="T20" i="1" l="1"/>
  <c r="T18" i="1"/>
  <c r="T19" i="1"/>
  <c r="O19" i="1"/>
  <c r="Z19" i="1" s="1"/>
  <c r="U20" i="1"/>
  <c r="U18" i="1"/>
  <c r="U17" i="1" l="1"/>
  <c r="Y17" i="1" s="1"/>
  <c r="U16" i="1"/>
  <c r="Y16" i="1" s="1"/>
  <c r="T31" i="1" l="1"/>
  <c r="K17" i="1"/>
  <c r="L17" i="1"/>
  <c r="Q17" i="1"/>
  <c r="R17" i="1"/>
  <c r="K18" i="1"/>
  <c r="K16" i="1" s="1"/>
  <c r="L18" i="1"/>
  <c r="L16" i="1" s="1"/>
  <c r="M18" i="1"/>
  <c r="M17" i="1" s="1"/>
  <c r="N18" i="1"/>
  <c r="N17" i="1" s="1"/>
  <c r="P18" i="1"/>
  <c r="P17" i="1" s="1"/>
  <c r="Q18" i="1"/>
  <c r="Q16" i="1" s="1"/>
  <c r="R18" i="1"/>
  <c r="R16" i="1" s="1"/>
  <c r="S18" i="1"/>
  <c r="S17" i="1" s="1"/>
  <c r="AD18" i="1"/>
  <c r="AD19" i="1"/>
  <c r="AD17" i="1" s="1"/>
  <c r="AD16" i="1" s="1"/>
  <c r="K20" i="1"/>
  <c r="L20" i="1"/>
  <c r="M20" i="1"/>
  <c r="N20" i="1"/>
  <c r="O20" i="1"/>
  <c r="P20" i="1"/>
  <c r="P16" i="1" s="1"/>
  <c r="Q20" i="1"/>
  <c r="R20" i="1"/>
  <c r="S20" i="1"/>
  <c r="AD20" i="1"/>
  <c r="AA19" i="1" l="1"/>
  <c r="T17" i="1"/>
  <c r="O17" i="1"/>
  <c r="Z20" i="1"/>
  <c r="S16" i="1"/>
  <c r="T16" i="1" s="1"/>
  <c r="N16" i="1"/>
  <c r="M16" i="1"/>
  <c r="O18" i="1"/>
  <c r="Z18" i="1" s="1"/>
  <c r="AA18" i="1" s="1"/>
  <c r="Z17" i="1" l="1"/>
  <c r="AA17" i="1" s="1"/>
  <c r="AA20" i="1"/>
  <c r="O16" i="1"/>
  <c r="Z16" i="1" s="1"/>
  <c r="AA16" i="1" s="1"/>
  <c r="T21" i="1" l="1"/>
  <c r="T23" i="1" l="1"/>
  <c r="T24" i="1"/>
  <c r="Z23" i="1" l="1"/>
  <c r="AA23" i="1" s="1"/>
  <c r="O22" i="1"/>
  <c r="Z22" i="1" s="1"/>
  <c r="AA22" i="1" l="1"/>
  <c r="O31" i="1" l="1"/>
  <c r="O21" i="1"/>
  <c r="Z21" i="1" s="1"/>
  <c r="Z31" i="1" l="1"/>
  <c r="AA31" i="1" s="1"/>
  <c r="AA21" i="1"/>
  <c r="T29" i="1"/>
  <c r="T36" i="1" l="1"/>
  <c r="O36" i="1"/>
  <c r="T35" i="1"/>
  <c r="O35" i="1"/>
  <c r="T34" i="1"/>
  <c r="O34" i="1"/>
  <c r="T33" i="1"/>
  <c r="O33" i="1"/>
  <c r="Z33" i="1" s="1"/>
  <c r="T32" i="1"/>
  <c r="O32" i="1"/>
  <c r="T30" i="1"/>
  <c r="O30" i="1"/>
  <c r="O29" i="1"/>
  <c r="Z29" i="1" s="1"/>
  <c r="AA29" i="1" s="1"/>
  <c r="T28" i="1"/>
  <c r="O28" i="1"/>
  <c r="T27" i="1"/>
  <c r="O27" i="1"/>
  <c r="T26" i="1"/>
  <c r="O26" i="1"/>
  <c r="T25" i="1"/>
  <c r="O25" i="1"/>
  <c r="Z25" i="1" s="1"/>
  <c r="O24" i="1"/>
  <c r="Z24" i="1" s="1"/>
  <c r="Z34" i="1" l="1"/>
  <c r="AA34" i="1" s="1"/>
  <c r="Z30" i="1"/>
  <c r="AA30" i="1" s="1"/>
  <c r="Z27" i="1"/>
  <c r="Z26" i="1"/>
  <c r="AA26" i="1" s="1"/>
  <c r="Z36" i="1"/>
  <c r="Z32" i="1"/>
  <c r="Z28" i="1"/>
  <c r="Z35" i="1"/>
  <c r="AA27" i="1"/>
  <c r="AA28" i="1"/>
  <c r="AA32" i="1"/>
  <c r="AA36" i="1"/>
  <c r="AA35" i="1"/>
  <c r="AA33" i="1"/>
  <c r="AA24" i="1"/>
  <c r="AA25" i="1"/>
</calcChain>
</file>

<file path=xl/sharedStrings.xml><?xml version="1.0" encoding="utf-8"?>
<sst xmlns="http://schemas.openxmlformats.org/spreadsheetml/2006/main" count="113" uniqueCount="83">
  <si>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</si>
  <si>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</si>
  <si>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</si>
  <si>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</si>
  <si>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</si>
  <si>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</si>
  <si>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</si>
  <si>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</si>
  <si>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</si>
  <si>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</si>
  <si>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</si>
  <si>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</si>
  <si>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</si>
  <si>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</si>
  <si>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</si>
  <si>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</si>
  <si>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</si>
  <si>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</si>
  <si>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</si>
  <si>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</si>
  <si>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</si>
  <si>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</si>
  <si>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</si>
  <si>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</si>
  <si>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</si>
  <si>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</si>
  <si>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</si>
  <si>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</si>
  <si>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</si>
  <si>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</si>
  <si>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</si>
  <si>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</si>
  <si>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</si>
  <si>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</si>
  <si>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</si>
  <si>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</si>
  <si>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</si>
  <si>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</si>
  <si>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</si>
  <si>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</si>
  <si>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</si>
  <si>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</si>
  <si>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</si>
  <si>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</si>
  <si>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</si>
  <si>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</si>
  <si>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</si>
  <si>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</si>
  <si>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</si>
  <si>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</si>
  <si>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</si>
  <si>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</si>
  <si>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</si>
  <si>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</si>
  <si>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</si>
  <si>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</si>
  <si>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</si>
  <si>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</si>
  <si>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</si>
  <si>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</si>
  <si>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</si>
  <si>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</si>
  <si>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</si>
  <si>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</si>
  <si>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</si>
  <si>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</si>
  <si>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</si>
  <si>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</si>
  <si>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</si>
  <si>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</si>
  <si>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</si>
  <si>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</si>
  <si>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</si>
  <si>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</si>
  <si>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</si>
  <si>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0</t>
  </si>
  <si>
    <t xml:space="preserve"> 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</si>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</sst>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[Red]\-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19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3" fillId="2" borderId="1" xfId="4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3" fontId="12" fillId="2" borderId="1" xfId="0" applyNumberFormat="1" applyFont="1" applyFill="1" applyBorder="1" applyAlignment="1">
      <alignment horizontal="justify" vertical="top" wrapText="1"/>
    </xf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9" fillId="11" borderId="4" xfId="1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164" fontId="11" fillId="2" borderId="1" xfId="1" applyNumberFormat="1" applyFont="1" applyFill="1" applyBorder="1" applyAlignment="1">
      <alignment horizontal="center" vertical="top" wrapText="1"/>
    </xf>
    <xf numFmtId="0" fontId="11" fillId="2" borderId="1" xfId="1" applyNumberFormat="1" applyFont="1" applyFill="1" applyBorder="1" applyAlignment="1">
      <alignment horizontal="center" vertical="top" wrapText="1"/>
    </xf>
    <xf numFmtId="10" fontId="8" fillId="2" borderId="1" xfId="1" applyNumberFormat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showGridLines="0" showZeros="0" tabSelected="1" topLeftCell="B1" zoomScale="80" zoomScaleNormal="80" zoomScaleSheetLayoutView="113" zoomScalePageLayoutView="70" workbookViewId="0">
      <selection activeCell="AC16" sqref="AB16:AC16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8.140625" style="1" hidden="1" customWidth="1"/>
    <col min="13" max="14" width="7.140625" style="1" hidden="1" customWidth="1"/>
    <col min="15" max="15" width="14.140625" style="1" customWidth="1"/>
    <col min="16" max="16" width="7.85546875" style="1" hidden="1" customWidth="1"/>
    <col min="17" max="17" width="7.140625" style="1" hidden="1" customWidth="1"/>
    <col min="18" max="18" width="7" style="1" hidden="1" customWidth="1"/>
    <col min="19" max="19" width="7.140625" style="1" hidden="1" customWidth="1"/>
    <col min="20" max="20" width="14.140625" style="1" customWidth="1"/>
    <col min="21" max="21" width="8.42578125" style="1" hidden="1" customWidth="1"/>
    <col min="22" max="22" width="8.5703125" style="1" hidden="1" customWidth="1"/>
    <col min="23" max="23" width="8.28515625" style="1" hidden="1" customWidth="1"/>
    <col min="24" max="24" width="8.85546875" style="1" hidden="1" customWidth="1"/>
    <col min="25" max="25" width="13.42578125" style="1" bestFit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9"/>
    </row>
    <row r="2" spans="1:30" s="21" customFormat="1" ht="25.5" customHeight="1" x14ac:dyDescent="0.2">
      <c r="A2" s="2"/>
      <c r="B2" s="97" t="s">
        <v>63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23"/>
    </row>
    <row r="3" spans="1:30" s="2" customFormat="1" ht="29.25" customHeight="1" x14ac:dyDescent="0.2">
      <c r="B3" s="98" t="s">
        <v>49</v>
      </c>
      <c r="C3" s="98"/>
      <c r="D3" s="98"/>
      <c r="E3" s="100" t="s">
        <v>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 spans="1:30" s="2" customFormat="1" ht="15" x14ac:dyDescent="0.2">
      <c r="B4" s="80" t="s">
        <v>50</v>
      </c>
      <c r="C4" s="80"/>
      <c r="D4" s="80"/>
      <c r="E4" s="101" t="s">
        <v>1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</row>
    <row r="5" spans="1:30" s="2" customFormat="1" ht="30.75" customHeight="1" x14ac:dyDescent="0.2">
      <c r="B5" s="99" t="s">
        <v>51</v>
      </c>
      <c r="C5" s="99"/>
      <c r="D5" s="99"/>
      <c r="E5" s="85" t="s">
        <v>36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</row>
    <row r="6" spans="1:30" s="2" customFormat="1" ht="197.25" customHeight="1" x14ac:dyDescent="0.2">
      <c r="B6" s="91" t="s">
        <v>2</v>
      </c>
      <c r="C6" s="92"/>
      <c r="D6" s="93"/>
      <c r="E6" s="88" t="s">
        <v>74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</row>
    <row r="7" spans="1:30" ht="15" customHeight="1" x14ac:dyDescent="0.2">
      <c r="B7" s="110" t="s">
        <v>53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2"/>
    </row>
    <row r="8" spans="1:30" s="7" customFormat="1" ht="18" customHeight="1" x14ac:dyDescent="0.2">
      <c r="B8" s="81" t="s">
        <v>44</v>
      </c>
      <c r="C8" s="81"/>
      <c r="D8" s="81"/>
      <c r="E8" s="81"/>
      <c r="F8" s="106" t="s">
        <v>52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8"/>
    </row>
    <row r="9" spans="1:30" s="7" customFormat="1" ht="27" customHeight="1" x14ac:dyDescent="0.2">
      <c r="B9" s="109" t="s">
        <v>37</v>
      </c>
      <c r="C9" s="109"/>
      <c r="D9" s="109"/>
      <c r="E9" s="109"/>
      <c r="F9" s="105" t="s">
        <v>61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</row>
    <row r="10" spans="1:30" s="25" customFormat="1" ht="18" customHeight="1" x14ac:dyDescent="0.25">
      <c r="B10" s="82" t="s">
        <v>54</v>
      </c>
      <c r="C10" s="83"/>
      <c r="D10" s="83"/>
      <c r="E10" s="84"/>
      <c r="F10" s="94" t="s">
        <v>62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</row>
    <row r="11" spans="1:30" s="7" customFormat="1" ht="15.75" customHeight="1" x14ac:dyDescent="0.2">
      <c r="B11" s="61" t="s">
        <v>57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40"/>
    </row>
    <row r="12" spans="1:30" s="7" customFormat="1" ht="35.25" customHeight="1" x14ac:dyDescent="0.2">
      <c r="B12" s="70" t="s">
        <v>45</v>
      </c>
      <c r="C12" s="70"/>
      <c r="D12" s="70"/>
      <c r="E12" s="70"/>
      <c r="F12" s="63" t="s">
        <v>56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30" s="7" customFormat="1" ht="17.25" customHeight="1" x14ac:dyDescent="0.2">
      <c r="B13" s="70" t="s">
        <v>46</v>
      </c>
      <c r="C13" s="70"/>
      <c r="D13" s="70"/>
      <c r="E13" s="70"/>
      <c r="F13" s="66" t="s">
        <v>47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</row>
    <row r="14" spans="1:30" ht="21" customHeight="1" x14ac:dyDescent="0.2">
      <c r="B14" s="31"/>
      <c r="C14" s="113" t="s">
        <v>65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5"/>
    </row>
    <row r="15" spans="1:30" ht="51" x14ac:dyDescent="0.2">
      <c r="B15" s="34" t="s">
        <v>48</v>
      </c>
      <c r="C15" s="116" t="s">
        <v>38</v>
      </c>
      <c r="D15" s="117"/>
      <c r="E15" s="118"/>
      <c r="F15" s="35" t="s">
        <v>39</v>
      </c>
      <c r="G15" s="39" t="s">
        <v>4</v>
      </c>
      <c r="H15" s="38" t="s">
        <v>3</v>
      </c>
      <c r="I15" s="36" t="s">
        <v>40</v>
      </c>
      <c r="J15" s="36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8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8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8" t="s">
        <v>60</v>
      </c>
      <c r="Z15" s="32" t="s">
        <v>41</v>
      </c>
      <c r="AA15" s="32" t="s">
        <v>42</v>
      </c>
      <c r="AB15" s="33" t="s">
        <v>67</v>
      </c>
      <c r="AC15" s="32" t="s">
        <v>43</v>
      </c>
    </row>
    <row r="16" spans="1:30" ht="122.25" customHeight="1" x14ac:dyDescent="0.2">
      <c r="B16" s="16">
        <v>3</v>
      </c>
      <c r="C16" s="71" t="s">
        <v>68</v>
      </c>
      <c r="D16" s="72"/>
      <c r="E16" s="73"/>
      <c r="F16" s="37"/>
      <c r="G16" s="26"/>
      <c r="H16" s="9" t="s">
        <v>17</v>
      </c>
      <c r="I16" s="44">
        <v>192708</v>
      </c>
      <c r="J16" s="29">
        <f>SUM(J18:J20)</f>
        <v>203475</v>
      </c>
      <c r="K16" s="29">
        <f>SUM(K18:K20)</f>
        <v>18098</v>
      </c>
      <c r="L16" s="29">
        <f>SUM(L18:L20)</f>
        <v>16714</v>
      </c>
      <c r="M16" s="29">
        <f t="shared" ref="M16:N16" si="0">SUM(M18:M20)</f>
        <v>17849</v>
      </c>
      <c r="N16" s="29">
        <f t="shared" si="0"/>
        <v>14249</v>
      </c>
      <c r="O16" s="29">
        <f>+K16+L16+M16+N16</f>
        <v>66910</v>
      </c>
      <c r="P16" s="29">
        <f>SUM(P18:P20)</f>
        <v>18242</v>
      </c>
      <c r="Q16" s="29">
        <f t="shared" ref="Q16:S16" si="1">SUM(Q18:Q20)</f>
        <v>15482</v>
      </c>
      <c r="R16" s="29">
        <f t="shared" si="1"/>
        <v>17622</v>
      </c>
      <c r="S16" s="29">
        <f t="shared" si="1"/>
        <v>18231</v>
      </c>
      <c r="T16" s="29">
        <f t="shared" ref="T16:T36" si="2">SUM(P16:S16)</f>
        <v>69577</v>
      </c>
      <c r="U16" s="29">
        <f t="shared" ref="U16" si="3">SUM(U18:U20)</f>
        <v>18301</v>
      </c>
      <c r="V16" s="29">
        <f>SUM(V18:V20)</f>
        <v>18867</v>
      </c>
      <c r="W16" s="29">
        <f t="shared" ref="W16:X16" si="4">SUM(W18:W20)</f>
        <v>15716</v>
      </c>
      <c r="X16" s="29">
        <f t="shared" si="4"/>
        <v>13326</v>
      </c>
      <c r="Y16" s="11">
        <f>SUM(U16:X16)</f>
        <v>66210</v>
      </c>
      <c r="Z16" s="29">
        <f t="shared" ref="Z16:Z20" si="5">+O16+T16+Y16</f>
        <v>202697</v>
      </c>
      <c r="AA16" s="57">
        <f>SUM(Z16/J16)</f>
        <v>0.9961764344514068</v>
      </c>
      <c r="AB16" s="6">
        <v>45255403</v>
      </c>
      <c r="AC16" s="19" t="s">
        <v>66</v>
      </c>
      <c r="AD16" s="24">
        <f>SUM(AD17:AD19)</f>
        <v>17298</v>
      </c>
    </row>
    <row r="17" spans="2:30" ht="78.75" customHeight="1" x14ac:dyDescent="0.2">
      <c r="B17" s="3"/>
      <c r="C17" s="74"/>
      <c r="D17" s="75"/>
      <c r="E17" s="76"/>
      <c r="F17" s="26" t="s">
        <v>69</v>
      </c>
      <c r="G17" s="22"/>
      <c r="H17" s="9" t="s">
        <v>17</v>
      </c>
      <c r="I17" s="44">
        <v>192708</v>
      </c>
      <c r="J17" s="29">
        <f>SUM(J18:J20)</f>
        <v>203475</v>
      </c>
      <c r="K17" s="29">
        <f>SUM(K18:K20)</f>
        <v>18098</v>
      </c>
      <c r="L17" s="29">
        <f>SUM(L18:L20)</f>
        <v>16714</v>
      </c>
      <c r="M17" s="29">
        <f t="shared" ref="M17:N17" si="6">SUM(M18:M20)</f>
        <v>17849</v>
      </c>
      <c r="N17" s="29">
        <f t="shared" si="6"/>
        <v>14249</v>
      </c>
      <c r="O17" s="29">
        <f>SUM(K17:N17)</f>
        <v>66910</v>
      </c>
      <c r="P17" s="11">
        <f>SUM(P18:P20)</f>
        <v>18242</v>
      </c>
      <c r="Q17" s="11">
        <f t="shared" ref="Q17:S17" si="7">SUM(Q18:Q20)</f>
        <v>15482</v>
      </c>
      <c r="R17" s="11">
        <f t="shared" si="7"/>
        <v>17622</v>
      </c>
      <c r="S17" s="11">
        <f t="shared" si="7"/>
        <v>18231</v>
      </c>
      <c r="T17" s="29">
        <f t="shared" si="2"/>
        <v>69577</v>
      </c>
      <c r="U17" s="11">
        <f t="shared" ref="U17" si="8">SUM(U18:U20)</f>
        <v>18301</v>
      </c>
      <c r="V17" s="11">
        <f>SUM(V18:V20)</f>
        <v>18867</v>
      </c>
      <c r="W17" s="11">
        <f t="shared" ref="W17:X17" si="9">SUM(W18:W20)</f>
        <v>15716</v>
      </c>
      <c r="X17" s="11">
        <f t="shared" si="9"/>
        <v>13326</v>
      </c>
      <c r="Y17" s="11">
        <f>SUM(U17:X17)</f>
        <v>66210</v>
      </c>
      <c r="Z17" s="29">
        <f t="shared" si="5"/>
        <v>202697</v>
      </c>
      <c r="AA17" s="57">
        <f>SUM(Z17/J17)</f>
        <v>0.9961764344514068</v>
      </c>
      <c r="AB17" s="6">
        <v>45255403</v>
      </c>
      <c r="AC17" s="19" t="s">
        <v>66</v>
      </c>
      <c r="AD17" s="24">
        <f>SUM(AD18:AD20)</f>
        <v>12097</v>
      </c>
    </row>
    <row r="18" spans="2:30" ht="38.25" x14ac:dyDescent="0.2">
      <c r="B18" s="3"/>
      <c r="C18" s="74"/>
      <c r="D18" s="75"/>
      <c r="E18" s="76"/>
      <c r="F18" s="28"/>
      <c r="G18" s="48" t="s">
        <v>70</v>
      </c>
      <c r="H18" s="9" t="s">
        <v>17</v>
      </c>
      <c r="I18" s="44">
        <v>57813</v>
      </c>
      <c r="J18" s="29">
        <v>56404</v>
      </c>
      <c r="K18" s="11">
        <f>953+1438</f>
        <v>2391</v>
      </c>
      <c r="L18" s="11">
        <f>904+1337</f>
        <v>2241</v>
      </c>
      <c r="M18" s="11">
        <f>986+1495</f>
        <v>2481</v>
      </c>
      <c r="N18" s="11">
        <f>830+1267</f>
        <v>2097</v>
      </c>
      <c r="O18" s="29">
        <f>SUM(K18:N18)</f>
        <v>9210</v>
      </c>
      <c r="P18" s="29">
        <f>1045+1584</f>
        <v>2629</v>
      </c>
      <c r="Q18" s="29">
        <f>877+1327</f>
        <v>2204</v>
      </c>
      <c r="R18" s="29">
        <f>902+1372</f>
        <v>2274</v>
      </c>
      <c r="S18" s="29">
        <f>1185+1701</f>
        <v>2886</v>
      </c>
      <c r="T18" s="29">
        <f>SUM(P18:S18)</f>
        <v>9993</v>
      </c>
      <c r="U18" s="29">
        <f>1134+1687</f>
        <v>2821</v>
      </c>
      <c r="V18" s="29">
        <f>1177+1721</f>
        <v>2898</v>
      </c>
      <c r="W18" s="11">
        <f>866+1354</f>
        <v>2220</v>
      </c>
      <c r="X18" s="11">
        <f>795+1091+54+75</f>
        <v>2015</v>
      </c>
      <c r="Y18" s="29">
        <f>SUM(U18:X18)</f>
        <v>9954</v>
      </c>
      <c r="Z18" s="29">
        <f>+O18+T18+Y18</f>
        <v>29157</v>
      </c>
      <c r="AA18" s="57">
        <f>SUM(Z18/J18)</f>
        <v>0.51693142330331188</v>
      </c>
      <c r="AB18" s="27"/>
      <c r="AC18" s="27"/>
      <c r="AD18" s="24">
        <f>593+594</f>
        <v>1187</v>
      </c>
    </row>
    <row r="19" spans="2:30" ht="25.5" x14ac:dyDescent="0.2">
      <c r="B19" s="3"/>
      <c r="C19" s="74"/>
      <c r="D19" s="75"/>
      <c r="E19" s="76"/>
      <c r="F19" s="17"/>
      <c r="G19" s="48" t="s">
        <v>20</v>
      </c>
      <c r="H19" s="9" t="s">
        <v>17</v>
      </c>
      <c r="I19" s="44">
        <v>38541</v>
      </c>
      <c r="J19" s="29">
        <v>39541</v>
      </c>
      <c r="K19" s="11">
        <v>3102</v>
      </c>
      <c r="L19" s="11">
        <v>2714</v>
      </c>
      <c r="M19" s="11">
        <v>2878</v>
      </c>
      <c r="N19" s="11">
        <v>2221</v>
      </c>
      <c r="O19" s="29">
        <f>SUM(K19:N19)</f>
        <v>10915</v>
      </c>
      <c r="P19" s="29">
        <v>2898</v>
      </c>
      <c r="Q19" s="29">
        <v>2371</v>
      </c>
      <c r="R19" s="29">
        <v>2845</v>
      </c>
      <c r="S19" s="29">
        <v>2711</v>
      </c>
      <c r="T19" s="29">
        <f>SUM(P19:S19)</f>
        <v>10825</v>
      </c>
      <c r="U19" s="29">
        <v>2720</v>
      </c>
      <c r="V19" s="29">
        <v>2857</v>
      </c>
      <c r="W19" s="11">
        <v>2460</v>
      </c>
      <c r="X19" s="29">
        <f>1946+104</f>
        <v>2050</v>
      </c>
      <c r="Y19" s="29">
        <f t="shared" ref="Y19:Y36" si="10">SUM(U19:X19)</f>
        <v>10087</v>
      </c>
      <c r="Z19" s="29">
        <f t="shared" si="5"/>
        <v>31827</v>
      </c>
      <c r="AA19" s="57">
        <f>SUM(Z19/J19)</f>
        <v>0.80491135783111201</v>
      </c>
      <c r="AB19" s="8"/>
      <c r="AC19" s="10"/>
      <c r="AD19" s="24">
        <f>2007+2007</f>
        <v>4014</v>
      </c>
    </row>
    <row r="20" spans="2:30" ht="38.25" x14ac:dyDescent="0.2">
      <c r="B20" s="3"/>
      <c r="C20" s="74"/>
      <c r="D20" s="75"/>
      <c r="E20" s="76"/>
      <c r="F20" s="20"/>
      <c r="G20" s="48" t="s">
        <v>71</v>
      </c>
      <c r="H20" s="9" t="s">
        <v>17</v>
      </c>
      <c r="I20" s="44">
        <v>96354</v>
      </c>
      <c r="J20" s="29">
        <v>107530</v>
      </c>
      <c r="K20" s="11">
        <f>5631+6974</f>
        <v>12605</v>
      </c>
      <c r="L20" s="11">
        <f>5188+6571</f>
        <v>11759</v>
      </c>
      <c r="M20" s="11">
        <f>5556+6934</f>
        <v>12490</v>
      </c>
      <c r="N20" s="11">
        <f>4323+5608</f>
        <v>9931</v>
      </c>
      <c r="O20" s="29">
        <f t="shared" ref="O20:O36" si="11">SUM(K20:N20)</f>
        <v>46785</v>
      </c>
      <c r="P20" s="29">
        <f>5631+7084</f>
        <v>12715</v>
      </c>
      <c r="Q20" s="29">
        <f>4774+6133</f>
        <v>10907</v>
      </c>
      <c r="R20" s="29">
        <f>5497+7006</f>
        <v>12503</v>
      </c>
      <c r="S20" s="29">
        <f>5629+7005</f>
        <v>12634</v>
      </c>
      <c r="T20" s="29">
        <f>SUM(P20:S20)</f>
        <v>48759</v>
      </c>
      <c r="U20" s="29">
        <f>5581+7179</f>
        <v>12760</v>
      </c>
      <c r="V20" s="29">
        <f>5808+7304</f>
        <v>13112</v>
      </c>
      <c r="W20" s="11">
        <f>4898+6138</f>
        <v>11036</v>
      </c>
      <c r="X20" s="29">
        <f>3903+4872+216+270</f>
        <v>9261</v>
      </c>
      <c r="Y20" s="29">
        <f t="shared" si="10"/>
        <v>46169</v>
      </c>
      <c r="Z20" s="29">
        <f t="shared" si="5"/>
        <v>141713</v>
      </c>
      <c r="AA20" s="57">
        <f t="shared" ref="AA20:AA22" si="12">SUM(Z20/J20)</f>
        <v>1.3178926811122478</v>
      </c>
      <c r="AB20" s="12"/>
      <c r="AC20" s="12"/>
      <c r="AD20" s="24">
        <f>3448+3448</f>
        <v>6896</v>
      </c>
    </row>
    <row r="21" spans="2:30" ht="25.5" x14ac:dyDescent="0.2">
      <c r="B21" s="3" t="s">
        <v>76</v>
      </c>
      <c r="C21" s="58"/>
      <c r="D21" s="59"/>
      <c r="E21" s="60"/>
      <c r="F21" s="20"/>
      <c r="G21" s="13" t="s">
        <v>21</v>
      </c>
      <c r="H21" s="9" t="s">
        <v>19</v>
      </c>
      <c r="I21" s="43">
        <v>6</v>
      </c>
      <c r="J21" s="28">
        <v>6</v>
      </c>
      <c r="K21" s="10">
        <v>2</v>
      </c>
      <c r="L21" s="27">
        <v>1</v>
      </c>
      <c r="M21" s="27">
        <v>2</v>
      </c>
      <c r="N21" s="27">
        <v>2</v>
      </c>
      <c r="O21" s="14">
        <f>SUM(K21:N21)</f>
        <v>7</v>
      </c>
      <c r="P21" s="28">
        <v>2</v>
      </c>
      <c r="Q21" s="53" t="s">
        <v>75</v>
      </c>
      <c r="R21" s="42" t="s">
        <v>75</v>
      </c>
      <c r="S21" s="42" t="s">
        <v>81</v>
      </c>
      <c r="T21" s="28">
        <f>SUM(P21:S21)</f>
        <v>2</v>
      </c>
      <c r="U21" s="28">
        <v>1</v>
      </c>
      <c r="V21" s="53" t="s">
        <v>75</v>
      </c>
      <c r="W21" s="27">
        <v>3</v>
      </c>
      <c r="X21" s="29">
        <v>1</v>
      </c>
      <c r="Y21" s="54">
        <f t="shared" si="10"/>
        <v>5</v>
      </c>
      <c r="Z21" s="29">
        <f>+O21+T21+Y21</f>
        <v>14</v>
      </c>
      <c r="AA21" s="57">
        <f>SUM(Z21/J21)</f>
        <v>2.3333333333333335</v>
      </c>
      <c r="AB21" s="12"/>
      <c r="AC21" s="12"/>
    </row>
    <row r="22" spans="2:30" ht="25.5" x14ac:dyDescent="0.2">
      <c r="B22" s="3"/>
      <c r="C22" s="45"/>
      <c r="D22" s="46"/>
      <c r="E22" s="47"/>
      <c r="F22" s="20"/>
      <c r="G22" s="13" t="s">
        <v>22</v>
      </c>
      <c r="H22" s="9" t="s">
        <v>19</v>
      </c>
      <c r="I22" s="43">
        <v>6</v>
      </c>
      <c r="J22" s="28">
        <v>6</v>
      </c>
      <c r="K22" s="27">
        <v>4</v>
      </c>
      <c r="L22" s="42" t="s">
        <v>75</v>
      </c>
      <c r="M22" s="42" t="s">
        <v>75</v>
      </c>
      <c r="N22" s="27">
        <v>0</v>
      </c>
      <c r="O22" s="28">
        <f>SUM(K22:N22)</f>
        <v>4</v>
      </c>
      <c r="P22" s="53" t="s">
        <v>75</v>
      </c>
      <c r="Q22" s="53" t="s">
        <v>75</v>
      </c>
      <c r="R22" s="42" t="s">
        <v>75</v>
      </c>
      <c r="S22" s="42" t="s">
        <v>75</v>
      </c>
      <c r="T22" s="53" t="s">
        <v>75</v>
      </c>
      <c r="U22" s="53" t="s">
        <v>75</v>
      </c>
      <c r="V22" s="28" t="str">
        <f>+U22</f>
        <v>0</v>
      </c>
      <c r="W22" s="56">
        <v>1</v>
      </c>
      <c r="X22" s="29">
        <v>0</v>
      </c>
      <c r="Y22" s="54">
        <f t="shared" si="10"/>
        <v>1</v>
      </c>
      <c r="Z22" s="29">
        <f>+O22+T22+Y22</f>
        <v>5</v>
      </c>
      <c r="AA22" s="57">
        <f t="shared" si="12"/>
        <v>0.83333333333333337</v>
      </c>
      <c r="AB22" s="12"/>
      <c r="AC22" s="12"/>
    </row>
    <row r="23" spans="2:30" ht="25.5" x14ac:dyDescent="0.2">
      <c r="B23" s="3"/>
      <c r="C23" s="69"/>
      <c r="D23" s="69"/>
      <c r="E23" s="69"/>
      <c r="F23" s="17"/>
      <c r="G23" s="13" t="s">
        <v>23</v>
      </c>
      <c r="H23" s="9" t="s">
        <v>19</v>
      </c>
      <c r="I23" s="43">
        <v>6564</v>
      </c>
      <c r="J23" s="28">
        <v>6564</v>
      </c>
      <c r="K23" s="55">
        <v>645</v>
      </c>
      <c r="L23" s="55">
        <v>603</v>
      </c>
      <c r="M23" s="55" t="s">
        <v>77</v>
      </c>
      <c r="N23" s="55" t="s">
        <v>78</v>
      </c>
      <c r="O23" s="28">
        <f>+K23+L23+M23+N23</f>
        <v>2693</v>
      </c>
      <c r="P23" s="42" t="s">
        <v>79</v>
      </c>
      <c r="Q23" s="28">
        <v>706</v>
      </c>
      <c r="R23" s="42" t="s">
        <v>80</v>
      </c>
      <c r="S23" s="42" t="s">
        <v>82</v>
      </c>
      <c r="T23" s="28">
        <f>+P23+Q23+R23+S23</f>
        <v>3083</v>
      </c>
      <c r="U23" s="28">
        <v>910</v>
      </c>
      <c r="V23" s="28">
        <v>800</v>
      </c>
      <c r="W23" s="28">
        <v>697</v>
      </c>
      <c r="X23" s="29">
        <f>634+39</f>
        <v>673</v>
      </c>
      <c r="Y23" s="54">
        <f>SUM(U23:X23)</f>
        <v>3080</v>
      </c>
      <c r="Z23" s="29">
        <f>+O23+T23+Y23</f>
        <v>8856</v>
      </c>
      <c r="AA23" s="57">
        <f>SUM(Z23/J23)</f>
        <v>1.3491773308957953</v>
      </c>
      <c r="AB23" s="8"/>
      <c r="AC23" s="8"/>
    </row>
    <row r="24" spans="2:30" ht="15" x14ac:dyDescent="0.2">
      <c r="B24" s="3"/>
      <c r="C24" s="69"/>
      <c r="D24" s="69"/>
      <c r="E24" s="69"/>
      <c r="F24" s="28"/>
      <c r="G24" s="13" t="s">
        <v>24</v>
      </c>
      <c r="H24" s="9" t="s">
        <v>19</v>
      </c>
      <c r="I24" s="43">
        <v>3900</v>
      </c>
      <c r="J24" s="28">
        <v>3900</v>
      </c>
      <c r="K24" s="10">
        <v>340</v>
      </c>
      <c r="L24" s="27">
        <v>326</v>
      </c>
      <c r="M24" s="27">
        <v>358</v>
      </c>
      <c r="N24" s="27">
        <v>369</v>
      </c>
      <c r="O24" s="14">
        <f t="shared" si="11"/>
        <v>1393</v>
      </c>
      <c r="P24" s="28">
        <v>454</v>
      </c>
      <c r="Q24" s="28">
        <v>408</v>
      </c>
      <c r="R24" s="28">
        <v>461</v>
      </c>
      <c r="S24" s="28">
        <v>416</v>
      </c>
      <c r="T24" s="28">
        <f t="shared" si="2"/>
        <v>1739</v>
      </c>
      <c r="U24" s="28">
        <v>421</v>
      </c>
      <c r="V24" s="28">
        <v>456</v>
      </c>
      <c r="W24" s="28">
        <v>421</v>
      </c>
      <c r="X24" s="29">
        <f>361+23</f>
        <v>384</v>
      </c>
      <c r="Y24" s="28">
        <f t="shared" si="10"/>
        <v>1682</v>
      </c>
      <c r="Z24" s="29">
        <f t="shared" ref="Z24:Z36" si="13">+O24+T24+Y24</f>
        <v>4814</v>
      </c>
      <c r="AA24" s="57">
        <f t="shared" ref="AA24:AA36" si="14">SUM(Z24/J24)</f>
        <v>1.2343589743589745</v>
      </c>
      <c r="AB24" s="15"/>
      <c r="AC24" s="15"/>
    </row>
    <row r="25" spans="2:30" ht="25.5" x14ac:dyDescent="0.2">
      <c r="B25" s="3"/>
      <c r="C25" s="69"/>
      <c r="D25" s="69"/>
      <c r="E25" s="69"/>
      <c r="F25" s="9"/>
      <c r="G25" s="13" t="s">
        <v>25</v>
      </c>
      <c r="H25" s="9" t="s">
        <v>19</v>
      </c>
      <c r="I25" s="43">
        <v>9312</v>
      </c>
      <c r="J25" s="28">
        <v>9312</v>
      </c>
      <c r="K25" s="27">
        <v>807</v>
      </c>
      <c r="L25" s="27">
        <v>712</v>
      </c>
      <c r="M25" s="27">
        <v>835</v>
      </c>
      <c r="N25" s="27">
        <v>726</v>
      </c>
      <c r="O25" s="14">
        <f t="shared" si="11"/>
        <v>3080</v>
      </c>
      <c r="P25" s="28">
        <v>867</v>
      </c>
      <c r="Q25" s="28">
        <v>784</v>
      </c>
      <c r="R25" s="28">
        <v>839</v>
      </c>
      <c r="S25" s="28">
        <v>792</v>
      </c>
      <c r="T25" s="14">
        <f t="shared" si="2"/>
        <v>3282</v>
      </c>
      <c r="U25" s="28">
        <v>904</v>
      </c>
      <c r="V25" s="28">
        <v>880</v>
      </c>
      <c r="W25" s="28">
        <v>809</v>
      </c>
      <c r="X25" s="29">
        <f>566+37</f>
        <v>603</v>
      </c>
      <c r="Y25" s="28">
        <f t="shared" si="10"/>
        <v>3196</v>
      </c>
      <c r="Z25" s="29">
        <f t="shared" si="13"/>
        <v>9558</v>
      </c>
      <c r="AA25" s="57">
        <f t="shared" si="14"/>
        <v>1.0264175257731958</v>
      </c>
      <c r="AB25" s="15"/>
      <c r="AC25" s="15"/>
    </row>
    <row r="26" spans="2:30" ht="25.5" x14ac:dyDescent="0.2">
      <c r="B26" s="3"/>
      <c r="C26" s="69"/>
      <c r="D26" s="69"/>
      <c r="E26" s="69"/>
      <c r="F26" s="9"/>
      <c r="G26" s="41" t="s">
        <v>26</v>
      </c>
      <c r="H26" s="9" t="s">
        <v>19</v>
      </c>
      <c r="I26" s="43">
        <v>16164</v>
      </c>
      <c r="J26" s="28">
        <v>16164</v>
      </c>
      <c r="K26" s="10">
        <v>1498</v>
      </c>
      <c r="L26" s="27">
        <v>1472</v>
      </c>
      <c r="M26" s="27">
        <v>1599</v>
      </c>
      <c r="N26" s="27">
        <v>1321</v>
      </c>
      <c r="O26" s="14">
        <f t="shared" si="11"/>
        <v>5890</v>
      </c>
      <c r="P26" s="28">
        <v>1562</v>
      </c>
      <c r="Q26" s="28">
        <v>1426</v>
      </c>
      <c r="R26" s="28">
        <v>1612</v>
      </c>
      <c r="S26" s="28">
        <v>1530</v>
      </c>
      <c r="T26" s="14">
        <f t="shared" si="2"/>
        <v>6130</v>
      </c>
      <c r="U26" s="28">
        <v>1752</v>
      </c>
      <c r="V26" s="28">
        <v>1613</v>
      </c>
      <c r="W26" s="28">
        <v>1357</v>
      </c>
      <c r="X26" s="29">
        <f>1107+50</f>
        <v>1157</v>
      </c>
      <c r="Y26" s="28">
        <f t="shared" si="10"/>
        <v>5879</v>
      </c>
      <c r="Z26" s="29">
        <f t="shared" si="13"/>
        <v>17899</v>
      </c>
      <c r="AA26" s="57">
        <f t="shared" si="14"/>
        <v>1.1073372927493195</v>
      </c>
      <c r="AB26" s="15"/>
      <c r="AC26" s="15"/>
    </row>
    <row r="27" spans="2:30" ht="25.5" x14ac:dyDescent="0.2">
      <c r="B27" s="3"/>
      <c r="C27" s="69"/>
      <c r="D27" s="69"/>
      <c r="E27" s="69"/>
      <c r="F27" s="9"/>
      <c r="G27" s="41" t="s">
        <v>27</v>
      </c>
      <c r="H27" s="9" t="s">
        <v>19</v>
      </c>
      <c r="I27" s="43">
        <v>36060</v>
      </c>
      <c r="J27" s="28">
        <v>36060</v>
      </c>
      <c r="K27" s="10">
        <v>3730</v>
      </c>
      <c r="L27" s="27">
        <v>3616</v>
      </c>
      <c r="M27" s="27">
        <v>4133</v>
      </c>
      <c r="N27" s="27">
        <v>3367</v>
      </c>
      <c r="O27" s="14">
        <f t="shared" si="11"/>
        <v>14846</v>
      </c>
      <c r="P27" s="28">
        <v>4447</v>
      </c>
      <c r="Q27" s="28">
        <v>3950</v>
      </c>
      <c r="R27" s="28">
        <v>4287</v>
      </c>
      <c r="S27" s="28">
        <v>4255</v>
      </c>
      <c r="T27" s="14">
        <f t="shared" si="2"/>
        <v>16939</v>
      </c>
      <c r="U27" s="28">
        <v>4130</v>
      </c>
      <c r="V27" s="28">
        <v>4173</v>
      </c>
      <c r="W27" s="28">
        <v>3642</v>
      </c>
      <c r="X27" s="29">
        <f>3083+227</f>
        <v>3310</v>
      </c>
      <c r="Y27" s="28">
        <f t="shared" si="10"/>
        <v>15255</v>
      </c>
      <c r="Z27" s="29">
        <f>+O27+T27+Y27</f>
        <v>47040</v>
      </c>
      <c r="AA27" s="57">
        <f>SUM(Z27/J27)</f>
        <v>1.3044925124792013</v>
      </c>
      <c r="AB27" s="15"/>
      <c r="AC27" s="15"/>
    </row>
    <row r="28" spans="2:30" ht="25.5" x14ac:dyDescent="0.2">
      <c r="B28" s="3"/>
      <c r="C28" s="69"/>
      <c r="D28" s="69"/>
      <c r="E28" s="69"/>
      <c r="F28" s="9"/>
      <c r="G28" s="41" t="s">
        <v>28</v>
      </c>
      <c r="H28" s="9" t="s">
        <v>19</v>
      </c>
      <c r="I28" s="43">
        <v>6444</v>
      </c>
      <c r="J28" s="28">
        <v>6444</v>
      </c>
      <c r="K28" s="10">
        <v>513</v>
      </c>
      <c r="L28" s="27">
        <v>557</v>
      </c>
      <c r="M28" s="27">
        <v>434</v>
      </c>
      <c r="N28" s="27">
        <v>318</v>
      </c>
      <c r="O28" s="14">
        <f t="shared" si="11"/>
        <v>1822</v>
      </c>
      <c r="P28" s="28">
        <v>454</v>
      </c>
      <c r="Q28" s="28">
        <v>469</v>
      </c>
      <c r="R28" s="28">
        <v>447</v>
      </c>
      <c r="S28" s="28">
        <v>472</v>
      </c>
      <c r="T28" s="14">
        <f t="shared" si="2"/>
        <v>1842</v>
      </c>
      <c r="U28" s="28">
        <v>436</v>
      </c>
      <c r="V28" s="28">
        <v>444</v>
      </c>
      <c r="W28" s="28">
        <v>405</v>
      </c>
      <c r="X28" s="29">
        <f>299+22</f>
        <v>321</v>
      </c>
      <c r="Y28" s="28">
        <f t="shared" si="10"/>
        <v>1606</v>
      </c>
      <c r="Z28" s="29">
        <f t="shared" si="13"/>
        <v>5270</v>
      </c>
      <c r="AA28" s="57">
        <f t="shared" si="14"/>
        <v>0.81781502172563625</v>
      </c>
      <c r="AB28" s="15"/>
      <c r="AC28" s="15"/>
    </row>
    <row r="29" spans="2:30" ht="15" x14ac:dyDescent="0.2">
      <c r="B29" s="3"/>
      <c r="C29" s="58"/>
      <c r="D29" s="59"/>
      <c r="E29" s="60"/>
      <c r="F29" s="9"/>
      <c r="G29" s="41" t="s">
        <v>29</v>
      </c>
      <c r="H29" s="9" t="s">
        <v>19</v>
      </c>
      <c r="I29" s="43">
        <v>3936</v>
      </c>
      <c r="J29" s="28">
        <v>3936</v>
      </c>
      <c r="K29" s="10">
        <v>423</v>
      </c>
      <c r="L29" s="27">
        <v>414</v>
      </c>
      <c r="M29" s="27">
        <v>533</v>
      </c>
      <c r="N29" s="27">
        <v>455</v>
      </c>
      <c r="O29" s="14">
        <f t="shared" si="11"/>
        <v>1825</v>
      </c>
      <c r="P29" s="53" t="s">
        <v>75</v>
      </c>
      <c r="Q29" s="28">
        <v>452</v>
      </c>
      <c r="R29" s="28">
        <v>458</v>
      </c>
      <c r="S29" s="28">
        <v>403</v>
      </c>
      <c r="T29" s="14">
        <f t="shared" si="2"/>
        <v>1313</v>
      </c>
      <c r="U29" s="28">
        <v>490</v>
      </c>
      <c r="V29" s="28">
        <v>408</v>
      </c>
      <c r="W29" s="28">
        <v>384</v>
      </c>
      <c r="X29" s="29">
        <f>328+16</f>
        <v>344</v>
      </c>
      <c r="Y29" s="28">
        <f t="shared" si="10"/>
        <v>1626</v>
      </c>
      <c r="Z29" s="29">
        <f t="shared" si="13"/>
        <v>4764</v>
      </c>
      <c r="AA29" s="57">
        <f>SUM(Z29/J29)</f>
        <v>1.2103658536585367</v>
      </c>
      <c r="AB29" s="15"/>
      <c r="AC29" s="15"/>
    </row>
    <row r="30" spans="2:30" ht="25.5" x14ac:dyDescent="0.2">
      <c r="B30" s="3"/>
      <c r="C30" s="58"/>
      <c r="D30" s="59"/>
      <c r="E30" s="60"/>
      <c r="F30" s="9"/>
      <c r="G30" s="41" t="s">
        <v>30</v>
      </c>
      <c r="H30" s="9" t="s">
        <v>19</v>
      </c>
      <c r="I30" s="43">
        <v>24984</v>
      </c>
      <c r="J30" s="28">
        <v>24984</v>
      </c>
      <c r="K30" s="10">
        <v>2588</v>
      </c>
      <c r="L30" s="27">
        <v>2548</v>
      </c>
      <c r="M30" s="27">
        <v>2975</v>
      </c>
      <c r="N30" s="27">
        <v>2418</v>
      </c>
      <c r="O30" s="14">
        <f t="shared" si="11"/>
        <v>10529</v>
      </c>
      <c r="P30" s="28">
        <v>3203</v>
      </c>
      <c r="Q30" s="28">
        <v>2946</v>
      </c>
      <c r="R30" s="28">
        <v>3266</v>
      </c>
      <c r="S30" s="28">
        <v>2912</v>
      </c>
      <c r="T30" s="14">
        <f t="shared" si="2"/>
        <v>12327</v>
      </c>
      <c r="U30" s="28">
        <v>2814</v>
      </c>
      <c r="V30" s="28">
        <v>2803</v>
      </c>
      <c r="W30" s="28">
        <v>2618</v>
      </c>
      <c r="X30" s="29">
        <f>2130+165</f>
        <v>2295</v>
      </c>
      <c r="Y30" s="28">
        <f t="shared" si="10"/>
        <v>10530</v>
      </c>
      <c r="Z30" s="29">
        <f>+O30+T30+Y30</f>
        <v>33386</v>
      </c>
      <c r="AA30" s="57">
        <f>SUM(Z30/J30)</f>
        <v>1.3362952289465257</v>
      </c>
      <c r="AB30" s="15"/>
      <c r="AC30" s="15"/>
    </row>
    <row r="31" spans="2:30" ht="15" x14ac:dyDescent="0.2">
      <c r="B31" s="3"/>
      <c r="C31" s="45"/>
      <c r="D31" s="46"/>
      <c r="E31" s="47"/>
      <c r="F31" s="9"/>
      <c r="G31" s="41" t="s">
        <v>31</v>
      </c>
      <c r="H31" s="9" t="s">
        <v>19</v>
      </c>
      <c r="I31" s="43">
        <v>1872</v>
      </c>
      <c r="J31" s="28">
        <v>1872</v>
      </c>
      <c r="K31" s="27">
        <v>92</v>
      </c>
      <c r="L31" s="27">
        <v>96</v>
      </c>
      <c r="M31" s="27">
        <v>90</v>
      </c>
      <c r="N31" s="27">
        <v>99</v>
      </c>
      <c r="O31" s="28">
        <f t="shared" si="11"/>
        <v>377</v>
      </c>
      <c r="P31" s="28">
        <v>151</v>
      </c>
      <c r="Q31" s="28">
        <v>100</v>
      </c>
      <c r="R31" s="28">
        <v>149</v>
      </c>
      <c r="S31" s="28">
        <v>156</v>
      </c>
      <c r="T31" s="28">
        <f t="shared" si="2"/>
        <v>556</v>
      </c>
      <c r="U31" s="28">
        <v>123</v>
      </c>
      <c r="V31" s="28">
        <v>205</v>
      </c>
      <c r="W31" s="28">
        <v>118</v>
      </c>
      <c r="X31" s="29">
        <f>102+1</f>
        <v>103</v>
      </c>
      <c r="Y31" s="28">
        <f t="shared" si="10"/>
        <v>549</v>
      </c>
      <c r="Z31" s="29">
        <f>+O31+T31+Y31</f>
        <v>1482</v>
      </c>
      <c r="AA31" s="57">
        <f t="shared" si="14"/>
        <v>0.79166666666666663</v>
      </c>
      <c r="AB31" s="15"/>
      <c r="AC31" s="15"/>
    </row>
    <row r="32" spans="2:30" ht="15" x14ac:dyDescent="0.2">
      <c r="B32" s="3"/>
      <c r="C32" s="58"/>
      <c r="D32" s="59"/>
      <c r="E32" s="60"/>
      <c r="F32" s="9"/>
      <c r="G32" s="41" t="s">
        <v>32</v>
      </c>
      <c r="H32" s="9" t="s">
        <v>19</v>
      </c>
      <c r="I32" s="43">
        <v>252</v>
      </c>
      <c r="J32" s="28">
        <v>252</v>
      </c>
      <c r="K32" s="10">
        <v>12</v>
      </c>
      <c r="L32" s="27">
        <v>3</v>
      </c>
      <c r="M32" s="27">
        <v>17</v>
      </c>
      <c r="N32" s="27">
        <v>6</v>
      </c>
      <c r="O32" s="14">
        <f t="shared" si="11"/>
        <v>38</v>
      </c>
      <c r="P32" s="28">
        <v>13</v>
      </c>
      <c r="Q32" s="28">
        <v>14</v>
      </c>
      <c r="R32" s="28">
        <v>34</v>
      </c>
      <c r="S32" s="28">
        <v>20</v>
      </c>
      <c r="T32" s="14">
        <f t="shared" si="2"/>
        <v>81</v>
      </c>
      <c r="U32" s="28">
        <v>14</v>
      </c>
      <c r="V32" s="28">
        <v>16</v>
      </c>
      <c r="W32" s="28">
        <v>16</v>
      </c>
      <c r="X32" s="29">
        <f>31+1</f>
        <v>32</v>
      </c>
      <c r="Y32" s="28">
        <f t="shared" si="10"/>
        <v>78</v>
      </c>
      <c r="Z32" s="29">
        <f t="shared" si="13"/>
        <v>197</v>
      </c>
      <c r="AA32" s="57">
        <f t="shared" si="14"/>
        <v>0.78174603174603174</v>
      </c>
      <c r="AB32" s="15"/>
      <c r="AC32" s="15"/>
    </row>
    <row r="33" spans="2:29" ht="15" x14ac:dyDescent="0.2">
      <c r="B33" s="3"/>
      <c r="C33" s="58"/>
      <c r="D33" s="59"/>
      <c r="E33" s="60"/>
      <c r="F33" s="9"/>
      <c r="G33" s="49" t="s">
        <v>33</v>
      </c>
      <c r="H33" s="9" t="s">
        <v>19</v>
      </c>
      <c r="I33" s="43">
        <v>113760</v>
      </c>
      <c r="J33" s="28">
        <v>113760</v>
      </c>
      <c r="K33" s="10">
        <v>8880</v>
      </c>
      <c r="L33" s="27">
        <v>7601</v>
      </c>
      <c r="M33" s="27">
        <v>8023</v>
      </c>
      <c r="N33" s="27">
        <v>6888</v>
      </c>
      <c r="O33" s="14">
        <f t="shared" si="11"/>
        <v>31392</v>
      </c>
      <c r="P33" s="28">
        <v>8557</v>
      </c>
      <c r="Q33" s="28">
        <v>7999</v>
      </c>
      <c r="R33" s="28">
        <v>9683</v>
      </c>
      <c r="S33" s="28">
        <v>8815</v>
      </c>
      <c r="T33" s="14">
        <f t="shared" si="2"/>
        <v>35054</v>
      </c>
      <c r="U33" s="28">
        <v>8502</v>
      </c>
      <c r="V33" s="28">
        <v>8524</v>
      </c>
      <c r="W33" s="28">
        <v>8202</v>
      </c>
      <c r="X33" s="29">
        <f>5706+531</f>
        <v>6237</v>
      </c>
      <c r="Y33" s="28">
        <f t="shared" si="10"/>
        <v>31465</v>
      </c>
      <c r="Z33" s="29">
        <f t="shared" si="13"/>
        <v>97911</v>
      </c>
      <c r="AA33" s="57">
        <f t="shared" si="14"/>
        <v>0.86068037974683542</v>
      </c>
      <c r="AB33" s="15"/>
      <c r="AC33" s="15"/>
    </row>
    <row r="34" spans="2:29" ht="15" x14ac:dyDescent="0.2">
      <c r="B34" s="3"/>
      <c r="C34" s="58"/>
      <c r="D34" s="59"/>
      <c r="E34" s="60"/>
      <c r="F34" s="9"/>
      <c r="G34" s="50" t="s">
        <v>34</v>
      </c>
      <c r="H34" s="30" t="s">
        <v>18</v>
      </c>
      <c r="I34" s="43">
        <v>35592</v>
      </c>
      <c r="J34" s="28">
        <v>35592</v>
      </c>
      <c r="K34" s="10">
        <v>3299</v>
      </c>
      <c r="L34" s="27">
        <v>3167</v>
      </c>
      <c r="M34" s="27">
        <v>3659</v>
      </c>
      <c r="N34" s="27">
        <v>2878</v>
      </c>
      <c r="O34" s="14">
        <f t="shared" si="11"/>
        <v>13003</v>
      </c>
      <c r="P34" s="28">
        <v>3856</v>
      </c>
      <c r="Q34" s="28">
        <v>3135</v>
      </c>
      <c r="R34" s="28">
        <v>3327</v>
      </c>
      <c r="S34" s="28">
        <v>3557</v>
      </c>
      <c r="T34" s="14">
        <f t="shared" si="2"/>
        <v>13875</v>
      </c>
      <c r="U34" s="28">
        <v>3489</v>
      </c>
      <c r="V34" s="28">
        <v>3765</v>
      </c>
      <c r="W34" s="28">
        <v>3077</v>
      </c>
      <c r="X34" s="29">
        <f>2240+299</f>
        <v>2539</v>
      </c>
      <c r="Y34" s="28">
        <f t="shared" si="10"/>
        <v>12870</v>
      </c>
      <c r="Z34" s="29">
        <f t="shared" si="13"/>
        <v>39748</v>
      </c>
      <c r="AA34" s="57">
        <f t="shared" si="14"/>
        <v>1.1167678129916836</v>
      </c>
      <c r="AB34" s="15"/>
      <c r="AC34" s="15"/>
    </row>
    <row r="35" spans="2:29" ht="25.5" x14ac:dyDescent="0.2">
      <c r="B35" s="3"/>
      <c r="C35" s="58"/>
      <c r="D35" s="59"/>
      <c r="E35" s="60"/>
      <c r="F35" s="9"/>
      <c r="G35" s="51" t="s">
        <v>35</v>
      </c>
      <c r="H35" s="9" t="s">
        <v>19</v>
      </c>
      <c r="I35" s="43">
        <v>48</v>
      </c>
      <c r="J35" s="28">
        <v>48</v>
      </c>
      <c r="K35" s="10">
        <v>7</v>
      </c>
      <c r="L35" s="27">
        <v>4</v>
      </c>
      <c r="M35" s="27">
        <v>5</v>
      </c>
      <c r="N35" s="27">
        <v>11</v>
      </c>
      <c r="O35" s="14">
        <f t="shared" si="11"/>
        <v>27</v>
      </c>
      <c r="P35" s="28">
        <v>4</v>
      </c>
      <c r="Q35" s="28">
        <v>8</v>
      </c>
      <c r="R35" s="28">
        <v>1</v>
      </c>
      <c r="S35" s="28">
        <v>6</v>
      </c>
      <c r="T35" s="14">
        <f t="shared" si="2"/>
        <v>19</v>
      </c>
      <c r="U35" s="28">
        <v>12</v>
      </c>
      <c r="V35" s="28">
        <v>3</v>
      </c>
      <c r="W35" s="28">
        <v>3</v>
      </c>
      <c r="X35" s="29">
        <v>5</v>
      </c>
      <c r="Y35" s="28">
        <f t="shared" si="10"/>
        <v>23</v>
      </c>
      <c r="Z35" s="29">
        <f t="shared" si="13"/>
        <v>69</v>
      </c>
      <c r="AA35" s="57">
        <f t="shared" si="14"/>
        <v>1.4375</v>
      </c>
      <c r="AB35" s="15"/>
      <c r="AC35" s="15"/>
    </row>
    <row r="36" spans="2:29" ht="38.25" x14ac:dyDescent="0.2">
      <c r="B36" s="3"/>
      <c r="C36" s="58"/>
      <c r="D36" s="59"/>
      <c r="E36" s="60"/>
      <c r="F36" s="9"/>
      <c r="G36" s="52" t="s">
        <v>72</v>
      </c>
      <c r="H36" s="30" t="s">
        <v>18</v>
      </c>
      <c r="I36" s="43">
        <v>34740</v>
      </c>
      <c r="J36" s="28">
        <v>34740</v>
      </c>
      <c r="K36" s="10">
        <v>3385</v>
      </c>
      <c r="L36" s="27">
        <v>3157</v>
      </c>
      <c r="M36" s="27">
        <v>3659</v>
      </c>
      <c r="N36" s="27">
        <v>2870</v>
      </c>
      <c r="O36" s="14">
        <f t="shared" si="11"/>
        <v>13071</v>
      </c>
      <c r="P36" s="28">
        <v>3856</v>
      </c>
      <c r="Q36" s="28">
        <v>3126</v>
      </c>
      <c r="R36" s="28">
        <v>3325</v>
      </c>
      <c r="S36" s="28">
        <v>3549</v>
      </c>
      <c r="T36" s="14">
        <f t="shared" si="2"/>
        <v>13856</v>
      </c>
      <c r="U36" s="28">
        <v>3489</v>
      </c>
      <c r="V36" s="28">
        <v>3759</v>
      </c>
      <c r="W36" s="28">
        <v>3077</v>
      </c>
      <c r="X36" s="29">
        <f>2236+284</f>
        <v>2520</v>
      </c>
      <c r="Y36" s="28">
        <f t="shared" si="10"/>
        <v>12845</v>
      </c>
      <c r="Z36" s="29">
        <f t="shared" si="13"/>
        <v>39772</v>
      </c>
      <c r="AA36" s="57">
        <f t="shared" si="14"/>
        <v>1.1448474381116869</v>
      </c>
      <c r="AB36" s="15"/>
      <c r="AC36" s="15"/>
    </row>
    <row r="37" spans="2:29" ht="22.5" customHeight="1" x14ac:dyDescent="0.2">
      <c r="B37" s="102" t="s">
        <v>73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4"/>
    </row>
    <row r="38" spans="2:29" x14ac:dyDescent="0.2">
      <c r="R38" s="7"/>
    </row>
  </sheetData>
  <mergeCells count="44">
    <mergeCell ref="B37:AC37"/>
    <mergeCell ref="F9:AC9"/>
    <mergeCell ref="F8:AC8"/>
    <mergeCell ref="B9:E9"/>
    <mergeCell ref="B7:AC7"/>
    <mergeCell ref="C19:E19"/>
    <mergeCell ref="C14:AC14"/>
    <mergeCell ref="C28:E28"/>
    <mergeCell ref="C36:E36"/>
    <mergeCell ref="C29:E29"/>
    <mergeCell ref="C26:E26"/>
    <mergeCell ref="C15:E15"/>
    <mergeCell ref="B13:E13"/>
    <mergeCell ref="C17:E17"/>
    <mergeCell ref="C18:E18"/>
    <mergeCell ref="C32:E32"/>
    <mergeCell ref="B1:AC1"/>
    <mergeCell ref="B4:D4"/>
    <mergeCell ref="B8:E8"/>
    <mergeCell ref="B10:E10"/>
    <mergeCell ref="E5:AC5"/>
    <mergeCell ref="E6:AC6"/>
    <mergeCell ref="B6:D6"/>
    <mergeCell ref="F10:AC10"/>
    <mergeCell ref="B2:AC2"/>
    <mergeCell ref="B3:D3"/>
    <mergeCell ref="B5:D5"/>
    <mergeCell ref="E3:AC3"/>
    <mergeCell ref="E4:AC4"/>
    <mergeCell ref="C33:E33"/>
    <mergeCell ref="C34:E34"/>
    <mergeCell ref="C35:E35"/>
    <mergeCell ref="B11:AB11"/>
    <mergeCell ref="F12:AC12"/>
    <mergeCell ref="F13:AC13"/>
    <mergeCell ref="C24:E24"/>
    <mergeCell ref="B12:E12"/>
    <mergeCell ref="C16:E16"/>
    <mergeCell ref="C21:E21"/>
    <mergeCell ref="C20:E20"/>
    <mergeCell ref="C25:E25"/>
    <mergeCell ref="C30:E30"/>
    <mergeCell ref="C23:E23"/>
    <mergeCell ref="C27:E27"/>
  </mergeCells>
  <printOptions horizontalCentered="1"/>
  <pageMargins left="0.23622047244094491" right="0.23622047244094491" top="0.74803149606299213" bottom="0.74803149606299213" header="0.31496062992125984" footer="0.31496062992125984"/>
  <pageSetup scale="54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2025-12-29T16:58:09Z</cp:lastPrinted>
  <dcterms:created xsi:type="dcterms:W3CDTF">2019-01-08T14:24:40Z</dcterms:created>
  <dcterms:modified xsi:type="dcterms:W3CDTF">2026-01-05T16:08:58Z</dcterms:modified>
</cp:coreProperties>
</file>