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7"/>
  <workbookPr defaultThemeVersion="124226"/>
  <mc:AlternateContent xmlns:mc="http://schemas.openxmlformats.org/markup-compatibility/2006">
    <mc:Choice Requires="x15">
      <x15ac:absPath xmlns:x15ac="http://schemas.microsoft.com/office/spreadsheetml/2010/11/ac" url="\\131.107.2.244\financiero\METAS\Mayo\"/>
    </mc:Choice>
  </mc:AlternateContent>
  <xr:revisionPtr revIDLastSave="0" documentId="13_ncr:1_{0094AC41-7EAC-4A75-8AC3-F0CC9C2D72A7}" xr6:coauthVersionLast="36" xr6:coauthVersionMax="36" xr10:uidLastSave="{00000000-0000-0000-0000-000000000000}"/>
  <bookViews>
    <workbookView xWindow="0" yWindow="0" windowWidth="28800" windowHeight="11625" firstSheet="2" activeTab="2" xr2:uid="{00000000-000D-0000-FFFF-FFFF00000000}"/>
  </bookViews>
  <sheets>
    <sheet name="MATRIZ 2022" sheetId="6" r:id="rId1"/>
    <sheet name="MATRIZ 2023." sheetId="4" r:id="rId2"/>
    <sheet name="REPROGRAMACION" sheetId="7" r:id="rId3"/>
    <sheet name="EJECUCION" sheetId="8" r:id="rId4"/>
  </sheets>
  <externalReferences>
    <externalReference r:id="rId5"/>
  </externalReferences>
  <definedNames>
    <definedName name="_xlnm.Print_Area" localSheetId="3">EJECUCION!$B$4:$AB$45</definedName>
    <definedName name="_xlnm.Print_Area" localSheetId="0">'MATRIZ 2022'!$B$4:$AB$45</definedName>
    <definedName name="_xlnm.Print_Area" localSheetId="1">'MATRIZ 2023.'!$B$4:$AB$45</definedName>
    <definedName name="_xlnm.Print_Area" localSheetId="2">REPROGRAMACION!$B$4:$AB$45</definedName>
  </definedNames>
  <calcPr calcId="191029"/>
</workbook>
</file>

<file path=xl/calcChain.xml><?xml version="1.0" encoding="utf-8"?>
<calcChain xmlns="http://schemas.openxmlformats.org/spreadsheetml/2006/main">
  <c r="P26" i="8" l="1"/>
  <c r="P24" i="8"/>
  <c r="P23" i="7"/>
  <c r="P22" i="7"/>
  <c r="P26" i="7"/>
  <c r="P24" i="7"/>
  <c r="J26" i="8" l="1"/>
  <c r="J25" i="8"/>
  <c r="J24" i="8"/>
  <c r="J23" i="8"/>
  <c r="J22" i="8"/>
  <c r="J25" i="7"/>
  <c r="J26" i="7"/>
  <c r="J24" i="7"/>
  <c r="J23" i="7"/>
  <c r="J22" i="7"/>
  <c r="N26" i="7" l="1"/>
  <c r="N24" i="7"/>
  <c r="N23" i="7"/>
  <c r="N22" i="7"/>
  <c r="N23" i="8"/>
  <c r="N22" i="8"/>
  <c r="N26" i="8"/>
  <c r="N24" i="8"/>
  <c r="M26" i="8" l="1"/>
  <c r="M24" i="8"/>
  <c r="M23" i="8"/>
  <c r="M22" i="8"/>
  <c r="M22" i="7"/>
  <c r="M23" i="7"/>
  <c r="M26" i="7"/>
  <c r="M24" i="7"/>
  <c r="K22" i="7" l="1"/>
  <c r="L22" i="7"/>
  <c r="Y44" i="8" l="1"/>
  <c r="T44" i="8"/>
  <c r="O44" i="8"/>
  <c r="J44" i="8"/>
  <c r="Y43" i="8"/>
  <c r="T43" i="8"/>
  <c r="O43" i="8"/>
  <c r="J43" i="8"/>
  <c r="Y42" i="8"/>
  <c r="T42" i="8"/>
  <c r="O42" i="8"/>
  <c r="J42" i="8"/>
  <c r="Y41" i="8"/>
  <c r="T41" i="8"/>
  <c r="O41" i="8"/>
  <c r="J41" i="8"/>
  <c r="Y40" i="8"/>
  <c r="T40" i="8"/>
  <c r="O40" i="8"/>
  <c r="J40" i="8"/>
  <c r="Y39" i="8"/>
  <c r="T39" i="8"/>
  <c r="O39" i="8"/>
  <c r="J39" i="8"/>
  <c r="Y38" i="8"/>
  <c r="T38" i="8"/>
  <c r="O38" i="8"/>
  <c r="J38" i="8"/>
  <c r="Y37" i="8"/>
  <c r="T37" i="8"/>
  <c r="O37" i="8"/>
  <c r="J37" i="8"/>
  <c r="Y36" i="8"/>
  <c r="T36" i="8"/>
  <c r="O36" i="8"/>
  <c r="J36" i="8"/>
  <c r="Y35" i="8"/>
  <c r="T35" i="8"/>
  <c r="O35" i="8"/>
  <c r="J35" i="8"/>
  <c r="Y34" i="8"/>
  <c r="T34" i="8"/>
  <c r="O34" i="8"/>
  <c r="J34" i="8"/>
  <c r="Y33" i="8"/>
  <c r="T33" i="8"/>
  <c r="O33" i="8"/>
  <c r="J33" i="8"/>
  <c r="Y32" i="8"/>
  <c r="T32" i="8"/>
  <c r="O32" i="8"/>
  <c r="J32" i="8"/>
  <c r="Y31" i="8"/>
  <c r="T31" i="8"/>
  <c r="O31" i="8"/>
  <c r="J31" i="8"/>
  <c r="Y30" i="8"/>
  <c r="T30" i="8"/>
  <c r="O30" i="8"/>
  <c r="J30" i="8"/>
  <c r="Y29" i="8"/>
  <c r="T29" i="8"/>
  <c r="O29" i="8"/>
  <c r="J29" i="8"/>
  <c r="Y26" i="8"/>
  <c r="T26" i="8"/>
  <c r="L26" i="8"/>
  <c r="L23" i="8" s="1"/>
  <c r="O23" i="8" s="1"/>
  <c r="K26" i="8"/>
  <c r="O26" i="8" s="1"/>
  <c r="Y25" i="8"/>
  <c r="T25" i="8"/>
  <c r="O25" i="8"/>
  <c r="Y24" i="8"/>
  <c r="T24" i="8"/>
  <c r="L24" i="8"/>
  <c r="K24" i="8"/>
  <c r="O24" i="8" s="1"/>
  <c r="AB23" i="8"/>
  <c r="Y23" i="8"/>
  <c r="T23" i="8"/>
  <c r="K23" i="8"/>
  <c r="Y22" i="8"/>
  <c r="T22" i="8"/>
  <c r="L22" i="8"/>
  <c r="K22" i="8"/>
  <c r="L23" i="7"/>
  <c r="L26" i="7"/>
  <c r="L24" i="7"/>
  <c r="Z33" i="8" l="1"/>
  <c r="AA33" i="8" s="1"/>
  <c r="Z42" i="8"/>
  <c r="AA42" i="8" s="1"/>
  <c r="Z31" i="8"/>
  <c r="AA31" i="8" s="1"/>
  <c r="Z36" i="8"/>
  <c r="AA36" i="8" s="1"/>
  <c r="Z40" i="8"/>
  <c r="AA40" i="8" s="1"/>
  <c r="Z44" i="8"/>
  <c r="AA44" i="8" s="1"/>
  <c r="Z35" i="8"/>
  <c r="AA35" i="8" s="1"/>
  <c r="Z39" i="8"/>
  <c r="AA39" i="8" s="1"/>
  <c r="Z43" i="8"/>
  <c r="AA43" i="8" s="1"/>
  <c r="Z37" i="8"/>
  <c r="AA37" i="8" s="1"/>
  <c r="Z30" i="8"/>
  <c r="AA30" i="8" s="1"/>
  <c r="Z38" i="8"/>
  <c r="AA38" i="8" s="1"/>
  <c r="Z32" i="8"/>
  <c r="AA32" i="8" s="1"/>
  <c r="Z34" i="8"/>
  <c r="AA34" i="8" s="1"/>
  <c r="Z29" i="8"/>
  <c r="AA29" i="8" s="1"/>
  <c r="Z41" i="8"/>
  <c r="AA41" i="8" s="1"/>
  <c r="O22" i="8"/>
  <c r="Z22" i="8" s="1"/>
  <c r="AA22" i="8" s="1"/>
  <c r="Z25" i="8"/>
  <c r="AA25" i="8" s="1"/>
  <c r="Z23" i="8"/>
  <c r="AA23" i="8" s="1"/>
  <c r="Z24" i="8"/>
  <c r="AA24" i="8" s="1"/>
  <c r="Z26" i="8"/>
  <c r="AA26" i="8" s="1"/>
  <c r="Y25" i="7"/>
  <c r="Y26" i="7"/>
  <c r="Y24" i="7"/>
  <c r="T25" i="7"/>
  <c r="T26" i="7"/>
  <c r="T24" i="7"/>
  <c r="O25" i="7"/>
  <c r="O26" i="7"/>
  <c r="O24" i="7"/>
  <c r="K26" i="7"/>
  <c r="K24" i="7"/>
  <c r="K23" i="7"/>
  <c r="AB23" i="7"/>
  <c r="J30" i="7"/>
  <c r="J29" i="7"/>
  <c r="Y44" i="7" l="1"/>
  <c r="T44" i="7"/>
  <c r="O44" i="7"/>
  <c r="Y43" i="7"/>
  <c r="T43" i="7"/>
  <c r="O43" i="7"/>
  <c r="Y42" i="7"/>
  <c r="T42" i="7"/>
  <c r="O42" i="7"/>
  <c r="J42" i="7" s="1"/>
  <c r="Y41" i="7"/>
  <c r="T41" i="7"/>
  <c r="O41" i="7"/>
  <c r="Y40" i="7"/>
  <c r="T40" i="7"/>
  <c r="O40" i="7"/>
  <c r="Y39" i="7"/>
  <c r="T39" i="7"/>
  <c r="O39" i="7"/>
  <c r="Y38" i="7"/>
  <c r="T38" i="7"/>
  <c r="O38" i="7"/>
  <c r="Y37" i="7"/>
  <c r="T37" i="7"/>
  <c r="O37" i="7"/>
  <c r="Y36" i="7"/>
  <c r="T36" i="7"/>
  <c r="O36" i="7"/>
  <c r="Y35" i="7"/>
  <c r="T35" i="7"/>
  <c r="O35" i="7"/>
  <c r="Y34" i="7"/>
  <c r="T34" i="7"/>
  <c r="O34" i="7"/>
  <c r="Y33" i="7"/>
  <c r="T33" i="7"/>
  <c r="O33" i="7"/>
  <c r="Y32" i="7"/>
  <c r="T32" i="7"/>
  <c r="O32" i="7"/>
  <c r="Y31" i="7"/>
  <c r="T31" i="7"/>
  <c r="O31" i="7"/>
  <c r="Y30" i="7"/>
  <c r="T30" i="7"/>
  <c r="O30" i="7"/>
  <c r="Y29" i="7"/>
  <c r="T29" i="7"/>
  <c r="O29" i="7"/>
  <c r="Z25" i="7"/>
  <c r="AA25" i="7" s="1"/>
  <c r="Z24" i="7"/>
  <c r="AA24" i="7" s="1"/>
  <c r="Y23" i="7"/>
  <c r="T23" i="7"/>
  <c r="O23" i="7"/>
  <c r="Y22" i="7"/>
  <c r="T22" i="7"/>
  <c r="O22" i="7"/>
  <c r="Z23" i="7" l="1"/>
  <c r="AA23" i="7" s="1"/>
  <c r="J38" i="7"/>
  <c r="J33" i="7"/>
  <c r="J34" i="7"/>
  <c r="Z33" i="7"/>
  <c r="J43" i="7"/>
  <c r="J37" i="7"/>
  <c r="Z34" i="7"/>
  <c r="AA34" i="7" s="1"/>
  <c r="Z22" i="7"/>
  <c r="AA22" i="7" s="1"/>
  <c r="Z29" i="7"/>
  <c r="AA29" i="7" s="1"/>
  <c r="J31" i="7"/>
  <c r="Z42" i="7"/>
  <c r="AA42" i="7" s="1"/>
  <c r="Z38" i="7"/>
  <c r="Z26" i="7"/>
  <c r="AA26" i="7" s="1"/>
  <c r="Z30" i="7"/>
  <c r="AA30" i="7" s="1"/>
  <c r="J35" i="7"/>
  <c r="Z39" i="7"/>
  <c r="J41" i="7"/>
  <c r="J40" i="7"/>
  <c r="Z35" i="7"/>
  <c r="Z37" i="7"/>
  <c r="Z43" i="7"/>
  <c r="J39" i="7"/>
  <c r="J36" i="7"/>
  <c r="J44" i="7"/>
  <c r="Z31" i="7"/>
  <c r="Z41" i="7"/>
  <c r="J32" i="7"/>
  <c r="Z36" i="7"/>
  <c r="AA36" i="7" s="1"/>
  <c r="Z44" i="7"/>
  <c r="AA44" i="7" s="1"/>
  <c r="Z40" i="7"/>
  <c r="Z32" i="7"/>
  <c r="AA32" i="7" s="1"/>
  <c r="AC44" i="4"/>
  <c r="AD44" i="4" s="1"/>
  <c r="X44" i="4"/>
  <c r="S44" i="4"/>
  <c r="N44" i="4"/>
  <c r="AA40" i="7" l="1"/>
  <c r="AA38" i="7"/>
  <c r="AA41" i="7"/>
  <c r="AA33" i="7"/>
  <c r="AA43" i="7"/>
  <c r="AA31" i="7"/>
  <c r="AA37" i="7"/>
  <c r="AA35" i="7"/>
  <c r="AA39" i="7"/>
  <c r="I44" i="4"/>
  <c r="AE44" i="4"/>
  <c r="AF44" i="4" s="1"/>
  <c r="Y44" i="4"/>
  <c r="Z44" i="4" s="1"/>
  <c r="AD20" i="4"/>
  <c r="AE22" i="4" l="1"/>
  <c r="AF22" i="4" s="1"/>
  <c r="AG22" i="4" s="1"/>
  <c r="AH22" i="4" s="1"/>
  <c r="X32" i="4" l="1"/>
  <c r="X33" i="4"/>
  <c r="X34" i="4"/>
  <c r="X35" i="4"/>
  <c r="X36" i="4"/>
  <c r="X37" i="4"/>
  <c r="X38" i="4"/>
  <c r="X39" i="4"/>
  <c r="X40" i="4"/>
  <c r="X41" i="4"/>
  <c r="X42" i="4"/>
  <c r="X43" i="4"/>
  <c r="X31" i="4"/>
  <c r="S32" i="4"/>
  <c r="S33" i="4"/>
  <c r="S34" i="4"/>
  <c r="S35" i="4"/>
  <c r="S36" i="4"/>
  <c r="S37" i="4"/>
  <c r="S38" i="4"/>
  <c r="S39" i="4"/>
  <c r="S40" i="4"/>
  <c r="S41" i="4"/>
  <c r="S42" i="4"/>
  <c r="S43" i="4"/>
  <c r="S31" i="4"/>
  <c r="N32" i="4"/>
  <c r="Y32" i="4" s="1"/>
  <c r="N33" i="4"/>
  <c r="I33" i="4" s="1"/>
  <c r="N34" i="4"/>
  <c r="N35" i="4"/>
  <c r="N36" i="4"/>
  <c r="N37" i="4"/>
  <c r="N38" i="4"/>
  <c r="N39" i="4"/>
  <c r="N40" i="4"/>
  <c r="I40" i="4" s="1"/>
  <c r="N41" i="4"/>
  <c r="N42" i="4"/>
  <c r="N43" i="4"/>
  <c r="N31" i="4"/>
  <c r="I25" i="4"/>
  <c r="I24" i="4"/>
  <c r="Y25" i="4"/>
  <c r="Y24" i="4"/>
  <c r="I41" i="4" l="1"/>
  <c r="Y36" i="4"/>
  <c r="Y31" i="4"/>
  <c r="I38" i="4"/>
  <c r="Y38" i="4"/>
  <c r="I36" i="4"/>
  <c r="I32" i="4"/>
  <c r="I42" i="4"/>
  <c r="Y40" i="4"/>
  <c r="Y37" i="4"/>
  <c r="I35" i="4"/>
  <c r="Y42" i="4"/>
  <c r="I43" i="4"/>
  <c r="Y39" i="4"/>
  <c r="I34" i="4"/>
  <c r="Y34" i="4"/>
  <c r="I39" i="4"/>
  <c r="Y43" i="4"/>
  <c r="Y35" i="4"/>
  <c r="I37" i="4"/>
  <c r="Y41" i="4"/>
  <c r="Y33" i="4"/>
  <c r="I31" i="4"/>
  <c r="AC43" i="4"/>
  <c r="AD43" i="4" s="1"/>
  <c r="AE43" i="4" s="1"/>
  <c r="AF43" i="4" s="1"/>
  <c r="AC42" i="4"/>
  <c r="AD42" i="4" s="1"/>
  <c r="AC41" i="4"/>
  <c r="AD41" i="4" s="1"/>
  <c r="AC40" i="4"/>
  <c r="AD40" i="4" s="1"/>
  <c r="AE40" i="4" s="1"/>
  <c r="AC39" i="4"/>
  <c r="AD39" i="4" s="1"/>
  <c r="AE39" i="4" s="1"/>
  <c r="AC38" i="4"/>
  <c r="AD38" i="4" s="1"/>
  <c r="AE38" i="4" s="1"/>
  <c r="AF38" i="4" s="1"/>
  <c r="AC37" i="4"/>
  <c r="AD37" i="4" s="1"/>
  <c r="AE37" i="4" s="1"/>
  <c r="AC36" i="4"/>
  <c r="AD36" i="4" s="1"/>
  <c r="AE36" i="4" s="1"/>
  <c r="AC35" i="4"/>
  <c r="AD35" i="4" s="1"/>
  <c r="AC34" i="4"/>
  <c r="AD34" i="4" s="1"/>
  <c r="AC33" i="4"/>
  <c r="AD33" i="4" s="1"/>
  <c r="AE33" i="4" s="1"/>
  <c r="AF33" i="4" s="1"/>
  <c r="AC32" i="4"/>
  <c r="AD32" i="4" s="1"/>
  <c r="AE32" i="4" s="1"/>
  <c r="AC31" i="4"/>
  <c r="AD31" i="4" s="1"/>
  <c r="AE31" i="4" s="1"/>
  <c r="AF31" i="4" s="1"/>
  <c r="AC30" i="4"/>
  <c r="AD30" i="4" s="1"/>
  <c r="AE30" i="4" s="1"/>
  <c r="AC29" i="4"/>
  <c r="AD29" i="4" s="1"/>
  <c r="AC26" i="4"/>
  <c r="AD26" i="4" s="1"/>
  <c r="AC25" i="4"/>
  <c r="AD25" i="4" s="1"/>
  <c r="AC24" i="4"/>
  <c r="AD24" i="4" s="1"/>
  <c r="AE26" i="4" l="1"/>
  <c r="AF26" i="4"/>
  <c r="AE29" i="4"/>
  <c r="AF29" i="4" s="1"/>
  <c r="AE25" i="4"/>
  <c r="AF25" i="4" s="1"/>
  <c r="AE42" i="4"/>
  <c r="AF42" i="4" s="1"/>
  <c r="AE24" i="4"/>
  <c r="AF24" i="4" s="1"/>
  <c r="AE34" i="4"/>
  <c r="AF34" i="4"/>
  <c r="AE35" i="4"/>
  <c r="AF35" i="4" s="1"/>
  <c r="AE41" i="4"/>
  <c r="AF41" i="4" s="1"/>
  <c r="AF37" i="4"/>
  <c r="AF39" i="4"/>
  <c r="AF36" i="4"/>
  <c r="AF30" i="4"/>
  <c r="AF40" i="4"/>
  <c r="AF32" i="4"/>
  <c r="AA23" i="4"/>
  <c r="I23" i="6" l="1"/>
  <c r="I22" i="6" s="1"/>
  <c r="X44" i="6" l="1"/>
  <c r="S44" i="6"/>
  <c r="N44" i="6"/>
  <c r="Y44" i="6" s="1"/>
  <c r="X43" i="6"/>
  <c r="S43" i="6"/>
  <c r="N43" i="6"/>
  <c r="X42" i="6"/>
  <c r="S42" i="6"/>
  <c r="N42" i="6"/>
  <c r="Y42" i="6" s="1"/>
  <c r="X41" i="6"/>
  <c r="S41" i="6"/>
  <c r="N41" i="6"/>
  <c r="X40" i="6"/>
  <c r="S40" i="6"/>
  <c r="N40" i="6"/>
  <c r="Y40" i="6" s="1"/>
  <c r="X39" i="6"/>
  <c r="S39" i="6"/>
  <c r="N39" i="6"/>
  <c r="X38" i="6"/>
  <c r="S38" i="6"/>
  <c r="N38" i="6"/>
  <c r="Y38" i="6" s="1"/>
  <c r="X37" i="6"/>
  <c r="S37" i="6"/>
  <c r="N37" i="6"/>
  <c r="Y36" i="6"/>
  <c r="AA36" i="6" s="1"/>
  <c r="X36" i="6"/>
  <c r="S36" i="6"/>
  <c r="N36" i="6"/>
  <c r="X35" i="6"/>
  <c r="S35" i="6"/>
  <c r="N35" i="6"/>
  <c r="X34" i="6"/>
  <c r="S34" i="6"/>
  <c r="N34" i="6"/>
  <c r="Y34" i="6" s="1"/>
  <c r="X33" i="6"/>
  <c r="S33" i="6"/>
  <c r="N33" i="6"/>
  <c r="X32" i="6"/>
  <c r="S32" i="6"/>
  <c r="Y32" i="6" s="1"/>
  <c r="N32" i="6"/>
  <c r="X31" i="6"/>
  <c r="S31" i="6"/>
  <c r="Y31" i="6" s="1"/>
  <c r="N31" i="6"/>
  <c r="X30" i="6"/>
  <c r="S30" i="6"/>
  <c r="N30" i="6"/>
  <c r="Y30" i="6" s="1"/>
  <c r="X29" i="6"/>
  <c r="S29" i="6"/>
  <c r="N29" i="6"/>
  <c r="Y29" i="6" s="1"/>
  <c r="X26" i="6"/>
  <c r="S26" i="6"/>
  <c r="N26" i="6"/>
  <c r="Y26" i="6" s="1"/>
  <c r="X25" i="6"/>
  <c r="S25" i="6"/>
  <c r="N25" i="6"/>
  <c r="X24" i="6"/>
  <c r="S24" i="6"/>
  <c r="N24" i="6"/>
  <c r="Y24" i="6" s="1"/>
  <c r="W23" i="6"/>
  <c r="V23" i="6"/>
  <c r="U23" i="6"/>
  <c r="T23" i="6"/>
  <c r="X23" i="6" s="1"/>
  <c r="R23" i="6"/>
  <c r="Q23" i="6"/>
  <c r="P23" i="6"/>
  <c r="O23" i="6"/>
  <c r="S23" i="6" s="1"/>
  <c r="M23" i="6"/>
  <c r="L23" i="6"/>
  <c r="K23" i="6"/>
  <c r="J23" i="6"/>
  <c r="W22" i="6"/>
  <c r="V22" i="6"/>
  <c r="U22" i="6"/>
  <c r="T22" i="6"/>
  <c r="X22" i="6" s="1"/>
  <c r="R22" i="6"/>
  <c r="Q22" i="6"/>
  <c r="P22" i="6"/>
  <c r="O22" i="6"/>
  <c r="M22" i="6"/>
  <c r="L22" i="6"/>
  <c r="K22" i="6"/>
  <c r="J22" i="6"/>
  <c r="Z40" i="6" l="1"/>
  <c r="AA40" i="6"/>
  <c r="AA32" i="6"/>
  <c r="Z32" i="6"/>
  <c r="AA26" i="6"/>
  <c r="Z26" i="6"/>
  <c r="AA44" i="6"/>
  <c r="Z44" i="6"/>
  <c r="Y37" i="6"/>
  <c r="Z36" i="6"/>
  <c r="Y43" i="6"/>
  <c r="Z43" i="6" s="1"/>
  <c r="Y41" i="6"/>
  <c r="AA41" i="6" s="1"/>
  <c r="Y33" i="6"/>
  <c r="Z33" i="6" s="1"/>
  <c r="N22" i="6"/>
  <c r="Y22" i="6" s="1"/>
  <c r="Z22" i="6" s="1"/>
  <c r="Y35" i="6"/>
  <c r="AA35" i="6" s="1"/>
  <c r="N23" i="6"/>
  <c r="Y23" i="6" s="1"/>
  <c r="Z23" i="6" s="1"/>
  <c r="S22" i="6"/>
  <c r="Y39" i="6"/>
  <c r="Y25" i="6"/>
  <c r="AA42" i="6"/>
  <c r="Z42" i="6"/>
  <c r="AA38" i="6"/>
  <c r="Z38" i="6"/>
  <c r="AA29" i="6"/>
  <c r="Z29" i="6"/>
  <c r="AA25" i="6"/>
  <c r="Z25" i="6"/>
  <c r="AA30" i="6"/>
  <c r="Z30" i="6"/>
  <c r="AA43" i="6"/>
  <c r="AA34" i="6"/>
  <c r="Z34" i="6"/>
  <c r="AA39" i="6"/>
  <c r="Z39" i="6"/>
  <c r="AA31" i="6"/>
  <c r="Z31" i="6"/>
  <c r="AA24" i="6"/>
  <c r="Z24" i="6"/>
  <c r="AA37" i="6"/>
  <c r="Z37" i="6"/>
  <c r="X29" i="4"/>
  <c r="X30" i="4"/>
  <c r="S29" i="4"/>
  <c r="S30" i="4"/>
  <c r="N29" i="4"/>
  <c r="N30" i="4"/>
  <c r="Z35" i="6" l="1"/>
  <c r="Z41" i="6"/>
  <c r="AA33" i="6"/>
  <c r="Y29" i="4"/>
  <c r="Y30" i="4"/>
  <c r="Z29" i="4"/>
  <c r="Z32" i="4" l="1"/>
  <c r="Z40" i="4"/>
  <c r="Z36" i="4"/>
  <c r="Z37" i="4"/>
  <c r="Z30" i="4"/>
  <c r="Z31" i="4"/>
  <c r="Z33" i="4"/>
  <c r="Z41" i="4"/>
  <c r="Z38" i="4"/>
  <c r="Z39" i="4"/>
  <c r="Z34" i="4"/>
  <c r="Z42" i="4"/>
  <c r="Z35" i="4"/>
  <c r="Z43" i="4"/>
  <c r="X26" i="4" l="1"/>
  <c r="S26" i="4"/>
  <c r="N26" i="4"/>
  <c r="Y26" i="4" l="1"/>
  <c r="N23" i="4"/>
  <c r="X22" i="4"/>
  <c r="N22" i="4"/>
  <c r="X23" i="4"/>
  <c r="S22" i="4"/>
  <c r="S23" i="4"/>
  <c r="Z25" i="4" l="1"/>
  <c r="Z26" i="4"/>
  <c r="Z24" i="4"/>
  <c r="Y22" i="4"/>
  <c r="Z22" i="4" s="1"/>
  <c r="Y23" i="4"/>
  <c r="Z23" i="4" s="1"/>
</calcChain>
</file>

<file path=xl/sharedStrings.xml><?xml version="1.0" encoding="utf-8"?>
<sst xmlns="http://schemas.openxmlformats.org/spreadsheetml/2006/main" count="385" uniqueCount="98">
  <si>
    <t>Ser la institución rectora del desarrollo económico nacional para crear oportunidades de inversión y generación de empleo formal.</t>
  </si>
  <si>
    <t xml:space="preserve">Contribuir  a la mejora de las condiciones de vida de los guatemaltecos, apoyando el incremento de  la competitividad  del país, fomentando la inversión, desarrollando las Micro, Pequeñas y Medianas Empresas  y  fortaleciendo el comercio exterior. </t>
  </si>
  <si>
    <t xml:space="preserve">VINCULACIÓN INSTITUCIONAL </t>
  </si>
  <si>
    <t>UNIDAD DE MEDIDA</t>
  </si>
  <si>
    <t xml:space="preserve">ACCIONES </t>
  </si>
  <si>
    <t>Total anual</t>
  </si>
  <si>
    <t xml:space="preserve">Ene  </t>
  </si>
  <si>
    <t xml:space="preserve">Feb       </t>
  </si>
  <si>
    <t xml:space="preserve">Mar </t>
  </si>
  <si>
    <t xml:space="preserve">Abr </t>
  </si>
  <si>
    <t xml:space="preserve">May </t>
  </si>
  <si>
    <t xml:space="preserve">Jun </t>
  </si>
  <si>
    <t xml:space="preserve">Jul </t>
  </si>
  <si>
    <t xml:space="preserve">Ago </t>
  </si>
  <si>
    <t xml:space="preserve">Sep </t>
  </si>
  <si>
    <t xml:space="preserve">Oct </t>
  </si>
  <si>
    <t>Nov</t>
  </si>
  <si>
    <t xml:space="preserve">Dic </t>
  </si>
  <si>
    <t xml:space="preserve">Persona </t>
  </si>
  <si>
    <t xml:space="preserve">Registro </t>
  </si>
  <si>
    <t>Personas individuales y jurídicas beneficiadas con  servicios de registro de  patentes comerciales y títulos de propiedad intelectual.</t>
  </si>
  <si>
    <r>
      <t>Personas individuales y jurídicas beneficiadas con patentes de inscripción de sociedades nacionales,  comerciante individual y empresas mercantiles</t>
    </r>
    <r>
      <rPr>
        <b/>
        <sz val="10"/>
        <rFont val="Times New Roman"/>
        <family val="1"/>
      </rPr>
      <t xml:space="preserve">. </t>
    </r>
  </si>
  <si>
    <t xml:space="preserve">Registro de Sociedades Nacionales </t>
  </si>
  <si>
    <t xml:space="preserve">Registro de Comerciantes Individuales </t>
  </si>
  <si>
    <t>Registro de Empresas Mercantiles</t>
  </si>
  <si>
    <t xml:space="preserve">Registro de cancelación de sociedades </t>
  </si>
  <si>
    <t xml:space="preserve">Cancelación de acciones </t>
  </si>
  <si>
    <t xml:space="preserve">Generar las condiciones que permitan la atracción de inversiones para la creación de empleo digno y así promover el desarrollo económico de los guatemaltecos.  </t>
  </si>
  <si>
    <t xml:space="preserve">RESULTADO FINAL </t>
  </si>
  <si>
    <t xml:space="preserve">RESULTADO INSTITUCIONAL </t>
  </si>
  <si>
    <t xml:space="preserve">PRODUCTO </t>
  </si>
  <si>
    <t>SUBPRODUCTO</t>
  </si>
  <si>
    <t xml:space="preserve">META VIGENTE </t>
  </si>
  <si>
    <t xml:space="preserve">AVANCE ACUMULADO ENERO-DICIEMBRE </t>
  </si>
  <si>
    <t xml:space="preserve">% AVANCE ACUMULADO ENERO - DICIEMBRE </t>
  </si>
  <si>
    <t xml:space="preserve">INFORMACIÓN RELEVANTE/ALERTAS/ PROBLEMAS </t>
  </si>
  <si>
    <t>AVANCE FÍSICO 2DO. CUATRIMESTRE</t>
  </si>
  <si>
    <t xml:space="preserve">AVANCE FÍSICO 3ER. CUATRIMESTRE </t>
  </si>
  <si>
    <t xml:space="preserve">AVANCE FÍSICO 1ER. CUATRIMESTRE </t>
  </si>
  <si>
    <t xml:space="preserve">OBJETIVO OPERATIVO </t>
  </si>
  <si>
    <t xml:space="preserve">Acción </t>
  </si>
  <si>
    <t xml:space="preserve">Actividad </t>
  </si>
  <si>
    <t xml:space="preserve">REGISTRO MERCANTIL DE GUATEMALA </t>
  </si>
  <si>
    <t xml:space="preserve"> Servicios de Registro de Patentes Comerciales y Títulos de Propiedad Intelectual.</t>
  </si>
  <si>
    <t>VISIÓN</t>
  </si>
  <si>
    <t>MISIÓN</t>
  </si>
  <si>
    <t>OBJETIVO ESTRATÉGICO</t>
  </si>
  <si>
    <t>Brindar certeza jurídica a través de los servicios registrales que presta el Ministerio de Economía.</t>
  </si>
  <si>
    <t xml:space="preserve">PROGRAMA 11 : SERVICIOS REGISTRALES </t>
  </si>
  <si>
    <t xml:space="preserve">INDICADOR </t>
  </si>
  <si>
    <t xml:space="preserve">Servicios registrales. </t>
  </si>
  <si>
    <t xml:space="preserve">Vinculación Institucional al Plan Nacional de Desarrollo, Política General de Gobierno y Objetivos de Desarrollo Sostenible
Eje: Fomento de las MIPYMEs, turismo, construcción de vivienda y trabajo decente:•Para el 2019, Guatemala mantiene el valor de 3.5, obtenido en la edición 2017 del Índice de Competitividad Turística del Foro Económico Mundial.• Para el 2019  se ha incrementado la cartera de créditos  del sistema bancario para los grupos empresarial menor en los 4 puntos porcentuales. - Línea base: 9.89  (2015.SIB).  Meta 13.89 (2019)-.• Para el 2019 se ha incrementado la cartera de microcrédito en razón de 3 puntos porcentuales. -Línea base: 1.67%  (2015.SIB) 4.67%  (2019-).
Prioridades Nacionales de Desarrollo
Prioridad 1: Reducción de la pobreza y protección social. MED 1: Para el 2030, potenciar y promover la inclusión social, económica y política de todos, independientemente de su edad , raza etnia , origen, religión  o situación económica u otra condición.
Prioridad 4: Empleo e inversión .  Metas Estratégicas de Desarrollo -MED-:
 MED 6: En 2032, el crecimiento del PIB real ha sido paulatino y sostenido, hasta alcanzar una tasa no menor del 5.4%: a) Rango entre 3.4 y 4.4% en el quinquenio 2015-2020 b) Rango entre 4.4 y 5.4 en el quinquenio 2021-2025. c) No menor del 5.4 en los  siguientes años, hasta llegar a 2032.
MED 7: Se ha reducido la precariedad laboral mediante la generación de empleos decentes y de calidad a) Disminución gradual de la tasa de subempleo a partir del último dato disponible: 16.9%, b) Disminución gradual de la informalidad a partir del último dato disponible: 69.2%, c) Disminución gradual de la tasa de desempleo a partir del último dato disponible: 3.2%., d) Eliminación del porcentaje de trabajadores que viven en pobreza extrema. 
MED 8: Para 2030, elaborar y poner en práctica políticas encaminadas a promover un turismo sostenible que cree puestos de trabajo y promueva la cultura y los productos locales.
</t>
  </si>
  <si>
    <t>Para el 2023 Se han mejorado las condiciones del clima de negocios y se ha aumentado la inversión para la generación de empleo digno en un 21%. (Línea base IED 2017. 1,169.50 Millones de Dólares BANGUAT).</t>
  </si>
  <si>
    <t>Empresas</t>
  </si>
  <si>
    <t xml:space="preserve">Registro de Sociedades Extranjeras </t>
  </si>
  <si>
    <t xml:space="preserve">Registro de emisión de acciones </t>
  </si>
  <si>
    <t xml:space="preserve">Registro de actas </t>
  </si>
  <si>
    <t xml:space="preserve">Registro de Modificación de Sociedades </t>
  </si>
  <si>
    <t xml:space="preserve">Registro de modificación de  Empresas </t>
  </si>
  <si>
    <t>Registro de Auxiliares de comercio</t>
  </si>
  <si>
    <t xml:space="preserve">Registro de cancelación de empresas </t>
  </si>
  <si>
    <t xml:space="preserve">Registro de mandatos </t>
  </si>
  <si>
    <t xml:space="preserve">Registro de cancelación de auxiliares </t>
  </si>
  <si>
    <t xml:space="preserve">Cancelación de mandatos </t>
  </si>
  <si>
    <t xml:space="preserve">Certificaciones a usuarios </t>
  </si>
  <si>
    <t xml:space="preserve">Emisión de  edictos </t>
  </si>
  <si>
    <t xml:space="preserve">Documento </t>
  </si>
  <si>
    <t>Modificación Sociedades extranjeras</t>
  </si>
  <si>
    <t xml:space="preserve">PROYECCIÓN MENSUAL Y CUATRIMESTRAL  DE EJECUCIÓN DE METAS FÍSICAS </t>
  </si>
  <si>
    <t xml:space="preserve">Publicaciones en boletín electrónico del Registro Mercantil </t>
  </si>
  <si>
    <t>Registro, certificación, dar certeza jurídica  a todos los actos mercantiles que realizan las personas individuales o jurídicas, resguardando los documentos correspondientes y proporcionando la información que de ellos se haya registrado, facilitando  las operaciones mercantiles para incentivar la inversión nacional y extrajera y fomentar el desarrollo social y económico del país, de conformidad con el Código de Comercio, Reglamento y leyes aplicables.</t>
  </si>
  <si>
    <t>EJECUCIÓN MENSUAL, CUATRIMESTRAL Y ANUAL,  POA 2022</t>
  </si>
  <si>
    <t xml:space="preserve">La proyección de la ejecución de metas físicas se generó tomando como referencia la ejecución de los meses de enero y febrero en el Sistema de Contabilidad Integrada -SICOIN-,  del año 2021, más un incremento del 3%.  </t>
  </si>
  <si>
    <t>PRESUPUESTO AÑO 2022</t>
  </si>
  <si>
    <t>POA AÑO 2022</t>
  </si>
  <si>
    <t>MINISTERIO DE ECONOMÍA 
PLAN OPERATIVO ANUAL 2023</t>
  </si>
  <si>
    <t>MATRIZ DE PLANIFICACIÓN, POA 2023</t>
  </si>
  <si>
    <t>Para el 2023 se ha incrementado en  21.0 puntos porcentuales el número de personas individuales y jurídicas beneficiadas con servicios registrales  (Línea base de 120,008 en 2019 a 145,210 en 2023).</t>
  </si>
  <si>
    <t>SUMA MES 1 Y 2</t>
  </si>
  <si>
    <t>TOTAL SUMA /2</t>
  </si>
  <si>
    <t>TOTAL * 0.03%</t>
  </si>
  <si>
    <t>TOTAL SUMA MAS PORCENTAJE</t>
  </si>
  <si>
    <t xml:space="preserve">La proyección de la ejecución de metas físicas se generó tomando como referencia la ejecución de los meses de enero y febrero en el Sistema de Contabilidad Integrada -SICOIN-,  del año 2022, más un incremento del 3%.  </t>
  </si>
  <si>
    <t xml:space="preserve">La proyección de la ejecución de acciones se generó tomando como base la ejecución acciones de los meses de enero y febrero en el Sistema de Contabilidad Integrada -SICOIN-,  del año 2022, más un incremento del 3%.  </t>
  </si>
  <si>
    <t>POA AÑO 2023</t>
  </si>
  <si>
    <t>EJECUCIÓN MENSUAL, CUATRIMESTRAL Y ANUAL,  POA 2023</t>
  </si>
  <si>
    <t>PRESUPUESTO AÑO 2023</t>
  </si>
  <si>
    <t xml:space="preserve"> </t>
  </si>
  <si>
    <t>Servicios de Registro de Patentes Comerciales y Títulos de Propiedad Intelectual.</t>
  </si>
  <si>
    <t>MINISTERIO DE ECONOMIA</t>
  </si>
  <si>
    <t>Registro de Sociedades Nacionales y Patentes electrónicas</t>
  </si>
  <si>
    <t>Registro de Empresas Mercantiles  Patentes electrónicas</t>
  </si>
  <si>
    <t>META INICIAL</t>
  </si>
  <si>
    <t>POA AÑO 2023 APROBADO SEGÚN DECRETO 54-2022</t>
  </si>
  <si>
    <t>EJECUCION DE METAS  MES DE  ABRIL  2023</t>
  </si>
  <si>
    <t>EJECUCIÓN DE METAS  MES DE ABRIL 2023</t>
  </si>
  <si>
    <t>REPROGRAMACION DE METAS  MES DE  ABRIL  2023</t>
  </si>
  <si>
    <t>REPROGRAMACION DE METAS  MES DE  ABRIL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</si>
</sst>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quot;* #,##0_-;\-&quot;Q&quot;* #,##0_-;_-&quot;Q&quot;* &quot;-&quot;_-;_-@_-"/>
    <numFmt numFmtId="44" formatCode="_-&quot;Q&quot;* #,##0.00_-;\-&quot;Q&quot;* #,##0.00_-;_-&quot;Q&quot;* &quot;-&quot;??_-;_-@_-"/>
    <numFmt numFmtId="164" formatCode="_-[$Q-100A]* #,##0.00_-;\-[$Q-100A]* #,##0.00_-;_-[$Q-100A]* &quot;-&quot;??_-;_-@_-"/>
    <numFmt numFmtId="165" formatCode="#,##0_ ;\-#,##0\ "/>
    <numFmt numFmtId="166" formatCode="_-[$Q-100A]* #,##0_-;\-[$Q-100A]* #,##0_-;_-[$Q-100A]* &quot;-&quot;_-;_-@_-"/>
    <numFmt numFmtId="167" formatCode="_-[$Q-100A]* #,##0.000_-;\-[$Q-100A]* #,##0.000_-;_-[$Q-100A]* &quot;-&quot;??_-;_-@_-"/>
  </numFmts>
  <fonts count="27" x14ac:knownFonts="1">
    <font>
      <sz val="11"/>
      <color theme="1"/>
      <name val="Calibri"/>
      <family val="2"/>
      <scheme val="minor"/>
    </font>
    <font>
      <sz val="11"/>
      <color theme="1"/>
      <name val="Calibri"/>
      <family val="2"/>
      <scheme val="minor"/>
    </font>
    <font>
      <b/>
      <sz val="14"/>
      <color theme="0"/>
      <name val="Times New Roman"/>
      <family val="1"/>
    </font>
    <font>
      <sz val="10"/>
      <name val="Times New Roman"/>
      <family val="1"/>
    </font>
    <font>
      <sz val="10"/>
      <name val="Arial"/>
      <family val="2"/>
    </font>
    <font>
      <b/>
      <sz val="10"/>
      <name val="Times New Roman"/>
      <family val="1"/>
    </font>
    <font>
      <b/>
      <sz val="10"/>
      <name val="Candara"/>
      <family val="2"/>
    </font>
    <font>
      <b/>
      <sz val="11"/>
      <color theme="1"/>
      <name val="Candara"/>
      <family val="2"/>
    </font>
    <font>
      <b/>
      <sz val="10"/>
      <color theme="0"/>
      <name val="Arial"/>
      <family val="2"/>
    </font>
    <font>
      <b/>
      <sz val="10"/>
      <color indexed="8"/>
      <name val="Times New Roman"/>
      <family val="1"/>
    </font>
    <font>
      <b/>
      <sz val="11"/>
      <color indexed="8"/>
      <name val="Candara"/>
      <family val="2"/>
    </font>
    <font>
      <b/>
      <sz val="12"/>
      <name val="Candara"/>
      <family val="2"/>
    </font>
    <font>
      <b/>
      <sz val="12"/>
      <name val="Times New Roman"/>
      <family val="1"/>
    </font>
    <font>
      <b/>
      <sz val="10"/>
      <color theme="1"/>
      <name val="Times New Roman"/>
      <family val="1"/>
    </font>
    <font>
      <sz val="12"/>
      <name val="Arial"/>
      <family val="2"/>
    </font>
    <font>
      <b/>
      <sz val="10"/>
      <color rgb="FF000000"/>
      <name val="Times New Roman"/>
      <family val="1"/>
    </font>
    <font>
      <sz val="10"/>
      <color theme="1"/>
      <name val="Times New Roman"/>
      <family val="1"/>
    </font>
    <font>
      <sz val="10"/>
      <color rgb="FF000000"/>
      <name val="Times New Roman"/>
      <family val="1"/>
    </font>
    <font>
      <b/>
      <sz val="9"/>
      <name val="Candara"/>
      <family val="2"/>
    </font>
    <font>
      <b/>
      <sz val="16"/>
      <color theme="0"/>
      <name val="Times New Roman"/>
      <family val="1"/>
    </font>
    <font>
      <b/>
      <i/>
      <sz val="12"/>
      <color theme="1"/>
      <name val="Times New Roman"/>
      <family val="1"/>
    </font>
    <font>
      <b/>
      <i/>
      <sz val="12"/>
      <name val="Times New Roman"/>
      <family val="1"/>
    </font>
    <font>
      <b/>
      <i/>
      <sz val="14"/>
      <name val="Times New Roman"/>
      <family val="1"/>
    </font>
    <font>
      <b/>
      <i/>
      <sz val="11"/>
      <name val="Times New Roman"/>
      <family val="1"/>
    </font>
    <font>
      <b/>
      <sz val="18"/>
      <color theme="0"/>
      <name val="Times New Roman"/>
      <family val="1"/>
    </font>
    <font>
      <b/>
      <i/>
      <sz val="10"/>
      <name val="Times New Roman"/>
      <family val="1"/>
    </font>
    <font>
      <sz val="12"/>
      <color theme="1"/>
      <name val="Arial"/>
      <family val="2"/>
    </font>
  </fonts>
  <fills count="10">
    <fill>
      <patternFill patternType="none"/>
    </fill>
    <fill>
      <patternFill patternType="gray125"/>
    </fill>
    <fill>
      <patternFill patternType="solid">
        <fgColor theme="4" tint="-0.499984740745262"/>
        <bgColor indexed="64"/>
      </patternFill>
    </fill>
    <fill>
      <patternFill patternType="solid">
        <fgColor theme="0"/>
        <bgColor indexed="64"/>
      </patternFill>
    </fill>
    <fill>
      <patternFill patternType="solid">
        <fgColor theme="8" tint="0.79998168889431442"/>
        <bgColor indexed="64"/>
      </patternFill>
    </fill>
    <fill>
      <patternFill patternType="solid">
        <fgColor theme="3" tint="0.3999755851924192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FFFF00"/>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style="thin">
        <color auto="1"/>
      </left>
      <right style="medium">
        <color indexed="64"/>
      </right>
      <top/>
      <bottom style="thin">
        <color auto="1"/>
      </bottom>
      <diagonal/>
    </border>
    <border>
      <left style="thin">
        <color auto="1"/>
      </left>
      <right style="medium">
        <color indexed="64"/>
      </right>
      <top/>
      <bottom/>
      <diagonal/>
    </border>
    <border>
      <left style="thin">
        <color auto="1"/>
      </left>
      <right style="thin">
        <color auto="1"/>
      </right>
      <top style="thin">
        <color auto="1"/>
      </top>
      <bottom style="double">
        <color indexed="64"/>
      </bottom>
      <diagonal/>
    </border>
  </borders>
  <cellStyleXfs count="6">
    <xf numFmtId="0" fontId="0" fillId="0" borderId="0"/>
    <xf numFmtId="0" fontId="4" fillId="0" borderId="0"/>
    <xf numFmtId="0" fontId="1" fillId="0" borderId="0"/>
    <xf numFmtId="0" fontId="4" fillId="0" borderId="0"/>
    <xf numFmtId="0" fontId="4" fillId="0" borderId="0"/>
    <xf numFmtId="44" fontId="1" fillId="0" borderId="0" applyFont="0" applyFill="0" applyBorder="0" applyAlignment="0" applyProtection="0"/>
  </cellStyleXfs>
  <cellXfs count="140">
    <xf numFmtId="0" fontId="0" fillId="0" borderId="0" xfId="0"/>
    <xf numFmtId="0" fontId="4" fillId="0" borderId="0" xfId="1" applyBorder="1"/>
    <xf numFmtId="0" fontId="4" fillId="0" borderId="0" xfId="1"/>
    <xf numFmtId="0" fontId="4" fillId="3" borderId="0" xfId="1" applyFill="1" applyBorder="1"/>
    <xf numFmtId="0" fontId="4" fillId="3" borderId="1" xfId="1" applyFill="1" applyBorder="1"/>
    <xf numFmtId="0" fontId="4" fillId="0" borderId="1" xfId="1" applyBorder="1"/>
    <xf numFmtId="0" fontId="9" fillId="3" borderId="1" xfId="2" applyFont="1" applyFill="1" applyBorder="1" applyAlignment="1">
      <alignment horizontal="center" vertical="center"/>
    </xf>
    <xf numFmtId="0" fontId="10" fillId="3" borderId="1" xfId="2" applyFont="1" applyFill="1" applyBorder="1" applyAlignment="1">
      <alignment horizontal="center" vertical="center"/>
    </xf>
    <xf numFmtId="4" fontId="4" fillId="0" borderId="0" xfId="1" applyNumberFormat="1" applyBorder="1"/>
    <xf numFmtId="0" fontId="4" fillId="3" borderId="0" xfId="1" applyFill="1"/>
    <xf numFmtId="0" fontId="5" fillId="3" borderId="1" xfId="0" applyFont="1" applyFill="1" applyBorder="1" applyAlignment="1">
      <alignment horizontal="center" vertical="top"/>
    </xf>
    <xf numFmtId="0" fontId="17" fillId="3" borderId="1" xfId="0" applyFont="1" applyFill="1" applyBorder="1" applyAlignment="1">
      <alignment horizontal="justify" vertical="top" wrapText="1"/>
    </xf>
    <xf numFmtId="0" fontId="3" fillId="3" borderId="1" xfId="0" applyFont="1" applyFill="1" applyBorder="1" applyAlignment="1">
      <alignment horizontal="center" vertical="top"/>
    </xf>
    <xf numFmtId="4" fontId="16" fillId="3" borderId="1" xfId="1" applyNumberFormat="1" applyFont="1" applyFill="1" applyBorder="1" applyAlignment="1">
      <alignment horizontal="center" vertical="top" wrapText="1"/>
    </xf>
    <xf numFmtId="3" fontId="16" fillId="3" borderId="1" xfId="1" applyNumberFormat="1" applyFont="1" applyFill="1" applyBorder="1" applyAlignment="1">
      <alignment horizontal="center" vertical="top" wrapText="1"/>
    </xf>
    <xf numFmtId="3" fontId="13" fillId="3" borderId="1" xfId="1" applyNumberFormat="1" applyFont="1" applyFill="1" applyBorder="1" applyAlignment="1">
      <alignment horizontal="center" vertical="top" wrapText="1"/>
    </xf>
    <xf numFmtId="0" fontId="17" fillId="3" borderId="4" xfId="0" applyFont="1" applyFill="1" applyBorder="1" applyAlignment="1">
      <alignment horizontal="justify" vertical="top" wrapText="1"/>
    </xf>
    <xf numFmtId="0" fontId="3" fillId="3" borderId="1" xfId="0" applyFont="1" applyFill="1" applyBorder="1" applyAlignment="1">
      <alignment vertical="top" wrapText="1"/>
    </xf>
    <xf numFmtId="3" fontId="5" fillId="3" borderId="1" xfId="0" applyNumberFormat="1" applyFont="1" applyFill="1" applyBorder="1" applyAlignment="1">
      <alignment horizontal="center" vertical="top"/>
    </xf>
    <xf numFmtId="4" fontId="13" fillId="7" borderId="0" xfId="1" applyNumberFormat="1" applyFont="1" applyFill="1" applyBorder="1" applyAlignment="1">
      <alignment wrapText="1"/>
    </xf>
    <xf numFmtId="4" fontId="4" fillId="0" borderId="0" xfId="1" applyNumberFormat="1"/>
    <xf numFmtId="0" fontId="3" fillId="3" borderId="4" xfId="0" applyFont="1" applyFill="1" applyBorder="1" applyAlignment="1">
      <alignment horizontal="center" vertical="top"/>
    </xf>
    <xf numFmtId="0" fontId="6" fillId="5" borderId="1" xfId="1" applyFont="1" applyFill="1" applyBorder="1" applyAlignment="1">
      <alignment horizontal="center" vertical="center" wrapText="1"/>
    </xf>
    <xf numFmtId="0" fontId="18" fillId="5" borderId="1" xfId="1" applyFont="1" applyFill="1" applyBorder="1" applyAlignment="1">
      <alignment horizontal="center" vertical="center" wrapText="1"/>
    </xf>
    <xf numFmtId="0" fontId="11" fillId="6" borderId="1" xfId="1" applyFont="1" applyFill="1" applyBorder="1" applyAlignment="1">
      <alignment horizontal="left" vertical="center" wrapText="1"/>
    </xf>
    <xf numFmtId="0" fontId="2" fillId="2" borderId="0" xfId="1" applyFont="1" applyFill="1" applyBorder="1" applyAlignment="1">
      <alignment horizontal="center"/>
    </xf>
    <xf numFmtId="9" fontId="13" fillId="3" borderId="1" xfId="1" applyNumberFormat="1" applyFont="1" applyFill="1" applyBorder="1" applyAlignment="1">
      <alignment horizontal="center" vertical="top" wrapText="1"/>
    </xf>
    <xf numFmtId="0" fontId="8" fillId="5" borderId="1" xfId="1" applyFont="1" applyFill="1" applyBorder="1" applyAlignment="1"/>
    <xf numFmtId="0" fontId="19" fillId="5" borderId="1" xfId="1" applyFont="1" applyFill="1" applyBorder="1" applyAlignment="1">
      <alignment horizontal="center" vertical="center" wrapText="1"/>
    </xf>
    <xf numFmtId="44" fontId="4" fillId="0" borderId="0" xfId="5" applyFont="1" applyBorder="1"/>
    <xf numFmtId="164" fontId="4" fillId="3" borderId="0" xfId="1" applyNumberFormat="1" applyFill="1" applyBorder="1"/>
    <xf numFmtId="44" fontId="4" fillId="0" borderId="0" xfId="1" applyNumberFormat="1" applyBorder="1"/>
    <xf numFmtId="44" fontId="4" fillId="3" borderId="0" xfId="1" applyNumberFormat="1" applyFill="1" applyBorder="1"/>
    <xf numFmtId="165" fontId="4" fillId="0" borderId="0" xfId="1" applyNumberFormat="1" applyBorder="1"/>
    <xf numFmtId="42" fontId="4" fillId="0" borderId="0" xfId="5" applyNumberFormat="1" applyFont="1" applyBorder="1"/>
    <xf numFmtId="166" fontId="4" fillId="3" borderId="0" xfId="1" applyNumberFormat="1" applyFill="1" applyBorder="1"/>
    <xf numFmtId="3" fontId="4" fillId="3" borderId="0" xfId="1" applyNumberFormat="1" applyFill="1" applyBorder="1"/>
    <xf numFmtId="3" fontId="4" fillId="0" borderId="0" xfId="1" applyNumberFormat="1"/>
    <xf numFmtId="3" fontId="4" fillId="0" borderId="0" xfId="1" applyNumberFormat="1" applyBorder="1"/>
    <xf numFmtId="9" fontId="4" fillId="0" borderId="0" xfId="1" applyNumberFormat="1"/>
    <xf numFmtId="0" fontId="26" fillId="0" borderId="0" xfId="0" applyFont="1"/>
    <xf numFmtId="0" fontId="3" fillId="3" borderId="1" xfId="4" applyFont="1" applyFill="1" applyBorder="1" applyAlignment="1">
      <alignment horizontal="justify" vertical="top" wrapText="1"/>
    </xf>
    <xf numFmtId="3" fontId="3" fillId="3" borderId="1" xfId="0" applyNumberFormat="1" applyFont="1" applyFill="1" applyBorder="1" applyAlignment="1">
      <alignment horizontal="center" vertical="top"/>
    </xf>
    <xf numFmtId="1" fontId="4" fillId="0" borderId="0" xfId="1" applyNumberFormat="1" applyAlignment="1">
      <alignment horizontal="center"/>
    </xf>
    <xf numFmtId="3" fontId="4" fillId="0" borderId="0" xfId="5" applyNumberFormat="1" applyFont="1"/>
    <xf numFmtId="0" fontId="3" fillId="3" borderId="1" xfId="4" applyFont="1" applyFill="1" applyBorder="1" applyAlignment="1">
      <alignment horizontal="left" vertical="top" wrapText="1"/>
    </xf>
    <xf numFmtId="0" fontId="4" fillId="0" borderId="7" xfId="1" applyBorder="1"/>
    <xf numFmtId="0" fontId="3" fillId="3" borderId="7" xfId="4" applyFont="1" applyFill="1" applyBorder="1" applyAlignment="1">
      <alignment horizontal="left" vertical="top" wrapText="1"/>
    </xf>
    <xf numFmtId="0" fontId="3" fillId="3" borderId="7" xfId="0" applyFont="1" applyFill="1" applyBorder="1" applyAlignment="1">
      <alignment horizontal="center" vertical="top"/>
    </xf>
    <xf numFmtId="3" fontId="3" fillId="3" borderId="7" xfId="0" applyNumberFormat="1" applyFont="1" applyFill="1" applyBorder="1" applyAlignment="1">
      <alignment horizontal="center" vertical="top"/>
    </xf>
    <xf numFmtId="0" fontId="4" fillId="9" borderId="0" xfId="1" applyFill="1"/>
    <xf numFmtId="0" fontId="7" fillId="4" borderId="1" xfId="1" applyFont="1" applyFill="1" applyBorder="1" applyAlignment="1">
      <alignment horizontal="center" vertical="top" wrapText="1"/>
    </xf>
    <xf numFmtId="0" fontId="9" fillId="4" borderId="1" xfId="2" applyFont="1" applyFill="1" applyBorder="1" applyAlignment="1">
      <alignment horizontal="center" vertical="center" wrapText="1"/>
    </xf>
    <xf numFmtId="3" fontId="13" fillId="4" borderId="1" xfId="1" applyNumberFormat="1" applyFont="1" applyFill="1" applyBorder="1" applyAlignment="1">
      <alignment horizontal="center" vertical="top" wrapText="1"/>
    </xf>
    <xf numFmtId="44" fontId="4" fillId="9" borderId="0" xfId="5" applyFont="1" applyFill="1"/>
    <xf numFmtId="0" fontId="14" fillId="3" borderId="13" xfId="1" applyFont="1" applyFill="1" applyBorder="1" applyAlignment="1">
      <alignment horizontal="center" vertical="top" wrapText="1"/>
    </xf>
    <xf numFmtId="0" fontId="14" fillId="3" borderId="14" xfId="1" applyFont="1" applyFill="1" applyBorder="1" applyAlignment="1">
      <alignment horizontal="center" vertical="top" wrapText="1"/>
    </xf>
    <xf numFmtId="0" fontId="14" fillId="3" borderId="15" xfId="1" applyFont="1" applyFill="1" applyBorder="1" applyAlignment="1">
      <alignment horizontal="center" vertical="top" wrapText="1"/>
    </xf>
    <xf numFmtId="0" fontId="14" fillId="3" borderId="13" xfId="1" applyFont="1" applyFill="1" applyBorder="1" applyAlignment="1">
      <alignment horizontal="center" vertical="top" wrapText="1"/>
    </xf>
    <xf numFmtId="0" fontId="14" fillId="3" borderId="14" xfId="1" applyFont="1" applyFill="1" applyBorder="1" applyAlignment="1">
      <alignment horizontal="center" vertical="top" wrapText="1"/>
    </xf>
    <xf numFmtId="0" fontId="14" fillId="3" borderId="15" xfId="1" applyFont="1" applyFill="1" applyBorder="1" applyAlignment="1">
      <alignment horizontal="center" vertical="top" wrapText="1"/>
    </xf>
    <xf numFmtId="0" fontId="19" fillId="5" borderId="1" xfId="1" applyFont="1" applyFill="1" applyBorder="1" applyAlignment="1">
      <alignment horizontal="center" vertical="center" wrapText="1"/>
    </xf>
    <xf numFmtId="0" fontId="7" fillId="4" borderId="1" xfId="1" applyFont="1" applyFill="1" applyBorder="1" applyAlignment="1">
      <alignment horizontal="center" vertical="top" wrapText="1"/>
    </xf>
    <xf numFmtId="167" fontId="4" fillId="3" borderId="0" xfId="1" applyNumberFormat="1" applyFill="1" applyBorder="1"/>
    <xf numFmtId="166" fontId="4" fillId="3" borderId="1" xfId="1" applyNumberFormat="1" applyFill="1" applyBorder="1"/>
    <xf numFmtId="164" fontId="4" fillId="3" borderId="1" xfId="1" applyNumberFormat="1" applyFill="1" applyBorder="1"/>
    <xf numFmtId="167" fontId="4" fillId="3" borderId="1" xfId="1" applyNumberFormat="1" applyFill="1" applyBorder="1"/>
    <xf numFmtId="0" fontId="21" fillId="3" borderId="5" xfId="0" applyFont="1" applyFill="1" applyBorder="1" applyAlignment="1">
      <alignment vertical="top" wrapText="1"/>
    </xf>
    <xf numFmtId="0" fontId="14" fillId="3" borderId="13" xfId="1" applyFont="1" applyFill="1" applyBorder="1" applyAlignment="1">
      <alignment horizontal="center" vertical="top" wrapText="1"/>
    </xf>
    <xf numFmtId="0" fontId="14" fillId="3" borderId="14" xfId="1" applyFont="1" applyFill="1" applyBorder="1" applyAlignment="1">
      <alignment horizontal="center" vertical="top" wrapText="1"/>
    </xf>
    <xf numFmtId="0" fontId="14" fillId="3" borderId="15" xfId="1" applyFont="1" applyFill="1" applyBorder="1" applyAlignment="1">
      <alignment horizontal="center" vertical="top" wrapText="1"/>
    </xf>
    <xf numFmtId="0" fontId="14" fillId="3" borderId="13" xfId="1" applyFont="1" applyFill="1" applyBorder="1" applyAlignment="1">
      <alignment horizontal="center" vertical="top" wrapText="1"/>
    </xf>
    <xf numFmtId="0" fontId="14" fillId="3" borderId="14" xfId="1" applyFont="1" applyFill="1" applyBorder="1" applyAlignment="1">
      <alignment horizontal="center" vertical="top" wrapText="1"/>
    </xf>
    <xf numFmtId="0" fontId="14" fillId="3" borderId="15" xfId="1" applyFont="1" applyFill="1" applyBorder="1" applyAlignment="1">
      <alignment horizontal="center" vertical="top" wrapText="1"/>
    </xf>
    <xf numFmtId="0" fontId="7" fillId="4" borderId="1" xfId="1" applyFont="1" applyFill="1" applyBorder="1" applyAlignment="1">
      <alignment horizontal="center" vertical="top" wrapText="1"/>
    </xf>
    <xf numFmtId="0" fontId="3" fillId="3" borderId="18" xfId="0" applyFont="1" applyFill="1" applyBorder="1" applyAlignment="1">
      <alignment vertical="top" wrapText="1"/>
    </xf>
    <xf numFmtId="3" fontId="5" fillId="3" borderId="18" xfId="0" applyNumberFormat="1" applyFont="1" applyFill="1" applyBorder="1" applyAlignment="1">
      <alignment horizontal="center" vertical="top"/>
    </xf>
    <xf numFmtId="0" fontId="10" fillId="3" borderId="1" xfId="2" applyFont="1" applyFill="1" applyBorder="1" applyAlignment="1">
      <alignment vertical="center"/>
    </xf>
    <xf numFmtId="0" fontId="14" fillId="3" borderId="13" xfId="1" applyFont="1" applyFill="1" applyBorder="1" applyAlignment="1">
      <alignment horizontal="center" vertical="top" wrapText="1"/>
    </xf>
    <xf numFmtId="0" fontId="14" fillId="3" borderId="14" xfId="1" applyFont="1" applyFill="1" applyBorder="1" applyAlignment="1">
      <alignment horizontal="center" vertical="top" wrapText="1"/>
    </xf>
    <xf numFmtId="0" fontId="14" fillId="3" borderId="15" xfId="1" applyFont="1" applyFill="1" applyBorder="1" applyAlignment="1">
      <alignment horizontal="center" vertical="top" wrapText="1"/>
    </xf>
    <xf numFmtId="0" fontId="7" fillId="4" borderId="1" xfId="1" applyFont="1" applyFill="1" applyBorder="1" applyAlignment="1">
      <alignment horizontal="center" vertical="top" wrapText="1"/>
    </xf>
    <xf numFmtId="0" fontId="23" fillId="0" borderId="1" xfId="1" applyFont="1" applyBorder="1" applyAlignment="1">
      <alignment horizontal="left" vertical="center" wrapText="1"/>
    </xf>
    <xf numFmtId="0" fontId="21" fillId="3" borderId="4" xfId="0" applyFont="1" applyFill="1" applyBorder="1" applyAlignment="1">
      <alignment horizontal="left" vertical="center" wrapText="1"/>
    </xf>
    <xf numFmtId="0" fontId="21" fillId="3" borderId="6" xfId="0" applyFont="1" applyFill="1" applyBorder="1" applyAlignment="1">
      <alignment horizontal="left" vertical="center" wrapText="1"/>
    </xf>
    <xf numFmtId="0" fontId="21" fillId="3" borderId="5" xfId="0" applyFont="1" applyFill="1" applyBorder="1" applyAlignment="1">
      <alignment horizontal="left" vertical="center" wrapText="1"/>
    </xf>
    <xf numFmtId="0" fontId="24" fillId="2" borderId="1" xfId="0" applyFont="1" applyFill="1" applyBorder="1" applyAlignment="1">
      <alignment horizontal="center" vertical="center" wrapText="1"/>
    </xf>
    <xf numFmtId="0" fontId="19" fillId="5" borderId="4" xfId="1" applyFont="1" applyFill="1" applyBorder="1" applyAlignment="1">
      <alignment horizontal="center" vertical="center" wrapText="1"/>
    </xf>
    <xf numFmtId="0" fontId="19" fillId="5" borderId="6" xfId="1" applyFont="1" applyFill="1" applyBorder="1" applyAlignment="1">
      <alignment horizontal="center" vertical="center" wrapText="1"/>
    </xf>
    <xf numFmtId="0" fontId="19" fillId="5" borderId="5" xfId="1" applyFont="1" applyFill="1" applyBorder="1" applyAlignment="1">
      <alignment horizontal="center" vertical="center" wrapText="1"/>
    </xf>
    <xf numFmtId="0" fontId="21" fillId="3" borderId="1" xfId="0" applyFont="1" applyFill="1" applyBorder="1" applyAlignment="1">
      <alignment horizontal="left" vertical="center" wrapText="1"/>
    </xf>
    <xf numFmtId="0" fontId="22" fillId="6" borderId="0" xfId="1" applyFont="1" applyFill="1" applyBorder="1" applyAlignment="1">
      <alignment horizontal="left" vertical="center" wrapText="1"/>
    </xf>
    <xf numFmtId="0" fontId="22" fillId="6" borderId="12" xfId="1" applyFont="1" applyFill="1" applyBorder="1" applyAlignment="1">
      <alignment horizontal="left" vertical="center" wrapText="1"/>
    </xf>
    <xf numFmtId="0" fontId="25" fillId="3" borderId="4" xfId="1" applyFont="1" applyFill="1" applyBorder="1" applyAlignment="1">
      <alignment horizontal="left" vertical="center" wrapText="1"/>
    </xf>
    <xf numFmtId="0" fontId="25" fillId="3" borderId="6" xfId="1" applyFont="1" applyFill="1" applyBorder="1" applyAlignment="1">
      <alignment horizontal="left" vertical="center" wrapText="1"/>
    </xf>
    <xf numFmtId="0" fontId="25" fillId="3" borderId="5" xfId="1" applyFont="1" applyFill="1" applyBorder="1" applyAlignment="1">
      <alignment horizontal="left" vertical="center" wrapText="1"/>
    </xf>
    <xf numFmtId="0" fontId="23" fillId="0" borderId="1" xfId="1" applyFont="1" applyBorder="1" applyAlignment="1">
      <alignment horizontal="left" vertical="top" wrapText="1"/>
    </xf>
    <xf numFmtId="0" fontId="21" fillId="3" borderId="1" xfId="0" applyFont="1" applyFill="1" applyBorder="1" applyAlignment="1">
      <alignment horizontal="left" vertical="top" wrapText="1"/>
    </xf>
    <xf numFmtId="0" fontId="25" fillId="3" borderId="1" xfId="0" applyFont="1" applyFill="1" applyBorder="1" applyAlignment="1">
      <alignment horizontal="left" vertical="center" wrapText="1"/>
    </xf>
    <xf numFmtId="0" fontId="20" fillId="3" borderId="4" xfId="0" applyFont="1" applyFill="1" applyBorder="1" applyAlignment="1">
      <alignment vertical="top" wrapText="1"/>
    </xf>
    <xf numFmtId="0" fontId="20" fillId="3" borderId="6" xfId="0" applyFont="1" applyFill="1" applyBorder="1" applyAlignment="1">
      <alignment vertical="top" wrapText="1"/>
    </xf>
    <xf numFmtId="0" fontId="20" fillId="3" borderId="5" xfId="0" applyFont="1" applyFill="1" applyBorder="1" applyAlignment="1">
      <alignment vertical="top" wrapText="1"/>
    </xf>
    <xf numFmtId="0" fontId="21" fillId="3" borderId="4" xfId="0" applyFont="1" applyFill="1" applyBorder="1" applyAlignment="1">
      <alignment horizontal="left" vertical="top" wrapText="1"/>
    </xf>
    <xf numFmtId="0" fontId="21" fillId="3" borderId="6" xfId="0" applyFont="1" applyFill="1" applyBorder="1" applyAlignment="1">
      <alignment horizontal="left" vertical="top" wrapText="1"/>
    </xf>
    <xf numFmtId="0" fontId="21" fillId="3" borderId="5" xfId="0" applyFont="1" applyFill="1" applyBorder="1" applyAlignment="1">
      <alignment horizontal="left" vertical="top" wrapText="1"/>
    </xf>
    <xf numFmtId="0" fontId="4" fillId="7" borderId="7" xfId="1" applyFill="1" applyBorder="1" applyAlignment="1">
      <alignment horizontal="center"/>
    </xf>
    <xf numFmtId="0" fontId="4" fillId="7" borderId="8" xfId="1" applyFill="1" applyBorder="1" applyAlignment="1">
      <alignment horizontal="center"/>
    </xf>
    <xf numFmtId="0" fontId="4" fillId="7" borderId="2" xfId="1" applyFill="1" applyBorder="1" applyAlignment="1">
      <alignment horizontal="center"/>
    </xf>
    <xf numFmtId="0" fontId="7" fillId="4" borderId="11" xfId="1" applyFont="1" applyFill="1" applyBorder="1" applyAlignment="1">
      <alignment horizontal="center" vertical="center" wrapText="1"/>
    </xf>
    <xf numFmtId="0" fontId="7" fillId="4" borderId="0" xfId="1" applyFont="1" applyFill="1" applyBorder="1" applyAlignment="1">
      <alignment horizontal="center" vertical="center" wrapText="1"/>
    </xf>
    <xf numFmtId="0" fontId="7" fillId="4" borderId="12" xfId="1" applyFont="1" applyFill="1" applyBorder="1" applyAlignment="1">
      <alignment horizontal="center" vertical="center" wrapText="1"/>
    </xf>
    <xf numFmtId="0" fontId="7" fillId="4" borderId="10" xfId="1" applyFont="1" applyFill="1" applyBorder="1" applyAlignment="1">
      <alignment horizontal="center" vertical="center" wrapText="1"/>
    </xf>
    <xf numFmtId="0" fontId="7" fillId="4" borderId="3" xfId="1" applyFont="1" applyFill="1" applyBorder="1" applyAlignment="1">
      <alignment horizontal="center" vertical="center" wrapText="1"/>
    </xf>
    <xf numFmtId="0" fontId="7" fillId="4" borderId="9" xfId="1" applyFont="1" applyFill="1" applyBorder="1" applyAlignment="1">
      <alignment horizontal="center" vertical="center" wrapText="1"/>
    </xf>
    <xf numFmtId="0" fontId="7" fillId="4" borderId="2" xfId="1" applyFont="1" applyFill="1" applyBorder="1" applyAlignment="1">
      <alignment horizontal="center" vertical="center" wrapText="1"/>
    </xf>
    <xf numFmtId="0" fontId="7" fillId="4" borderId="1" xfId="1" applyFont="1" applyFill="1" applyBorder="1" applyAlignment="1">
      <alignment horizontal="center" vertical="center" wrapText="1"/>
    </xf>
    <xf numFmtId="0" fontId="7" fillId="4" borderId="17" xfId="1" applyFont="1" applyFill="1" applyBorder="1" applyAlignment="1">
      <alignment horizontal="center" vertical="center" wrapText="1"/>
    </xf>
    <xf numFmtId="0" fontId="7" fillId="4" borderId="16" xfId="1" applyFont="1" applyFill="1" applyBorder="1" applyAlignment="1">
      <alignment horizontal="center" vertical="center" wrapText="1"/>
    </xf>
    <xf numFmtId="0" fontId="12" fillId="6" borderId="1" xfId="1" applyFont="1" applyFill="1" applyBorder="1" applyAlignment="1">
      <alignment horizontal="left" vertical="center" wrapText="1"/>
    </xf>
    <xf numFmtId="0" fontId="21" fillId="8" borderId="1" xfId="1" applyFont="1" applyFill="1" applyBorder="1" applyAlignment="1">
      <alignment horizontal="left" vertical="center" wrapText="1"/>
    </xf>
    <xf numFmtId="0" fontId="21" fillId="8" borderId="4" xfId="0" applyFont="1" applyFill="1" applyBorder="1" applyAlignment="1">
      <alignment horizontal="left" vertical="top" wrapText="1"/>
    </xf>
    <xf numFmtId="0" fontId="21" fillId="8" borderId="6" xfId="0" applyFont="1" applyFill="1" applyBorder="1" applyAlignment="1">
      <alignment horizontal="left" vertical="top" wrapText="1"/>
    </xf>
    <xf numFmtId="0" fontId="21" fillId="8" borderId="5" xfId="0" applyFont="1" applyFill="1" applyBorder="1" applyAlignment="1">
      <alignment horizontal="left" vertical="top" wrapText="1"/>
    </xf>
    <xf numFmtId="0" fontId="14" fillId="3" borderId="13" xfId="1" applyFont="1" applyFill="1" applyBorder="1" applyAlignment="1">
      <alignment horizontal="center" vertical="top" wrapText="1"/>
    </xf>
    <xf numFmtId="0" fontId="14" fillId="3" borderId="14" xfId="1" applyFont="1" applyFill="1" applyBorder="1" applyAlignment="1">
      <alignment horizontal="center" vertical="top" wrapText="1"/>
    </xf>
    <xf numFmtId="0" fontId="14" fillId="3" borderId="15" xfId="1" applyFont="1" applyFill="1" applyBorder="1" applyAlignment="1">
      <alignment horizontal="center" vertical="top" wrapText="1"/>
    </xf>
    <xf numFmtId="4" fontId="16" fillId="3" borderId="7" xfId="1" applyNumberFormat="1" applyFont="1" applyFill="1" applyBorder="1" applyAlignment="1">
      <alignment horizontal="justify" vertical="justify" wrapText="1"/>
    </xf>
    <xf numFmtId="4" fontId="16" fillId="3" borderId="8" xfId="1" applyNumberFormat="1" applyFont="1" applyFill="1" applyBorder="1" applyAlignment="1">
      <alignment horizontal="justify" vertical="justify" wrapText="1"/>
    </xf>
    <xf numFmtId="0" fontId="15" fillId="3" borderId="4" xfId="0" applyFont="1" applyFill="1" applyBorder="1" applyAlignment="1">
      <alignment horizontal="left" vertical="top" wrapText="1"/>
    </xf>
    <xf numFmtId="0" fontId="15" fillId="3" borderId="6" xfId="0" applyFont="1" applyFill="1" applyBorder="1" applyAlignment="1">
      <alignment horizontal="left" vertical="top" wrapText="1"/>
    </xf>
    <xf numFmtId="0" fontId="7" fillId="4" borderId="8" xfId="1" applyFont="1" applyFill="1" applyBorder="1" applyAlignment="1">
      <alignment horizontal="center" vertical="center" wrapText="1"/>
    </xf>
    <xf numFmtId="0" fontId="19" fillId="5" borderId="1" xfId="1" applyFont="1" applyFill="1" applyBorder="1" applyAlignment="1">
      <alignment horizontal="center" vertical="center" wrapText="1"/>
    </xf>
    <xf numFmtId="0" fontId="7" fillId="4" borderId="1" xfId="1" applyFont="1" applyFill="1" applyBorder="1" applyAlignment="1">
      <alignment horizontal="center" vertical="top" wrapText="1"/>
    </xf>
    <xf numFmtId="0" fontId="8" fillId="5" borderId="1" xfId="1" applyFont="1" applyFill="1" applyBorder="1" applyAlignment="1">
      <alignment horizontal="center"/>
    </xf>
    <xf numFmtId="0" fontId="2" fillId="2" borderId="4" xfId="1" applyFont="1" applyFill="1" applyBorder="1" applyAlignment="1">
      <alignment horizontal="left"/>
    </xf>
    <xf numFmtId="0" fontId="2" fillId="2" borderId="6" xfId="1" applyFont="1" applyFill="1" applyBorder="1" applyAlignment="1">
      <alignment horizontal="left"/>
    </xf>
    <xf numFmtId="4" fontId="16" fillId="3" borderId="7" xfId="1" applyNumberFormat="1" applyFont="1" applyFill="1" applyBorder="1" applyAlignment="1">
      <alignment horizontal="center" vertical="justify" wrapText="1"/>
    </xf>
    <xf numFmtId="4" fontId="16" fillId="3" borderId="8" xfId="1" applyNumberFormat="1" applyFont="1" applyFill="1" applyBorder="1" applyAlignment="1">
      <alignment horizontal="center" vertical="justify" wrapText="1"/>
    </xf>
    <xf numFmtId="4" fontId="16" fillId="3" borderId="2" xfId="1" applyNumberFormat="1" applyFont="1" applyFill="1" applyBorder="1" applyAlignment="1">
      <alignment horizontal="center" vertical="justify" wrapText="1"/>
    </xf>
    <xf numFmtId="0" fontId="25" fillId="3" borderId="1" xfId="1" applyFont="1" applyFill="1" applyBorder="1" applyAlignment="1">
      <alignment horizontal="left" vertical="center" wrapText="1"/>
    </xf>
  </cellXfs>
  <cellStyles count="6">
    <cellStyle name="Moneda" xfId="5" builtinId="4"/>
    <cellStyle name="Normal" xfId="0" builtinId="0"/>
    <cellStyle name="Normal 2" xfId="3" xr:uid="{00000000-0005-0000-0000-000002000000}"/>
    <cellStyle name="Normal 2 2 2" xfId="4" xr:uid="{00000000-0005-0000-0000-000003000000}"/>
    <cellStyle name="Normal 3 3" xfId="2" xr:uid="{00000000-0005-0000-0000-000004000000}"/>
    <cellStyle name="Normal 4" xfId="1"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769620</xdr:colOff>
          <xdr:row>53</xdr:row>
          <xdr:rowOff>45720</xdr:rowOff>
        </xdr:from>
        <xdr:to>
          <xdr:col>29</xdr:col>
          <xdr:colOff>153296</xdr:colOff>
          <xdr:row>139</xdr:row>
          <xdr:rowOff>135366</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a:extLst>
                <a:ext uri="{84589F7E-364E-4C9E-8A38-B11213B215E9}">
                  <a14:cameraTool cellRange="$B$4:$AB$44" spid="_x0000_s2194"/>
                </a:ext>
              </a:extLst>
            </xdr:cNvPicPr>
          </xdr:nvPicPr>
          <xdr:blipFill>
            <a:blip xmlns:r="http://schemas.openxmlformats.org/officeDocument/2006/relationships" r:embed="rId1"/>
            <a:srcRect/>
            <a:stretch>
              <a:fillRect/>
            </a:stretch>
          </xdr:blipFill>
          <xdr:spPr bwMode="auto">
            <a:xfrm>
              <a:off x="1453179" y="15722749"/>
              <a:ext cx="18456088" cy="13581529"/>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769620</xdr:colOff>
          <xdr:row>53</xdr:row>
          <xdr:rowOff>45720</xdr:rowOff>
        </xdr:from>
        <xdr:to>
          <xdr:col>28</xdr:col>
          <xdr:colOff>584228</xdr:colOff>
          <xdr:row>158</xdr:row>
          <xdr:rowOff>53340</xdr:rowOff>
        </xdr:to>
        <xdr:pic>
          <xdr:nvPicPr>
            <xdr:cNvPr id="2" name="Imagen 1">
              <a:extLst>
                <a:ext uri="{FF2B5EF4-FFF2-40B4-BE49-F238E27FC236}">
                  <a16:creationId xmlns:a16="http://schemas.microsoft.com/office/drawing/2014/main" id="{00000000-0008-0000-0100-000002000000}"/>
                </a:ext>
              </a:extLst>
            </xdr:cNvPr>
            <xdr:cNvPicPr>
              <a:picLocks noChangeAspect="1" noChangeArrowheads="1"/>
              <a:extLst>
                <a:ext uri="{84589F7E-364E-4C9E-8A38-B11213B215E9}">
                  <a14:cameraTool cellRange="$B$4:$AB$44" spid="_x0000_s1227"/>
                </a:ext>
              </a:extLst>
            </xdr:cNvPicPr>
          </xdr:nvPicPr>
          <xdr:blipFill>
            <a:blip xmlns:r="http://schemas.openxmlformats.org/officeDocument/2006/relationships" r:embed="rId1"/>
            <a:srcRect/>
            <a:stretch>
              <a:fillRect/>
            </a:stretch>
          </xdr:blipFill>
          <xdr:spPr bwMode="auto">
            <a:xfrm>
              <a:off x="1470660" y="19842480"/>
              <a:ext cx="18531840" cy="1760982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obandos/Desktop/nobando/FINANCIERO/METAS/enero/MATRIZ%20DE%20PLANIFICACI&#211;N%20ANUAL%202023%20UE%20102%20REGISTRO%20MERCANTIL%20MODIFICAD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2022"/>
      <sheetName val="MATRIZ 2023."/>
      <sheetName val="MATRIZ 2023. (2)"/>
    </sheetNames>
    <sheetDataSet>
      <sheetData sheetId="0"/>
      <sheetData sheetId="1"/>
      <sheetData sheetId="2">
        <row r="22">
          <cell r="K22">
            <v>123841</v>
          </cell>
        </row>
        <row r="24">
          <cell r="K24">
            <v>12557</v>
          </cell>
        </row>
        <row r="25">
          <cell r="K25">
            <v>38817</v>
          </cell>
        </row>
        <row r="26">
          <cell r="K26">
            <v>72467</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AT55"/>
  <sheetViews>
    <sheetView showGridLines="0" view="pageBreakPreview" topLeftCell="F1" zoomScale="85" zoomScaleNormal="85" zoomScaleSheetLayoutView="85" workbookViewId="0">
      <selection activeCell="F14" sqref="F14:AC14"/>
    </sheetView>
  </sheetViews>
  <sheetFormatPr baseColWidth="10" defaultColWidth="11.42578125" defaultRowHeight="12.75" x14ac:dyDescent="0.2"/>
  <cols>
    <col min="1" max="1" width="5.85546875" style="2" customWidth="1"/>
    <col min="2" max="2" width="4.28515625" style="2" customWidth="1"/>
    <col min="3" max="3" width="12.28515625" style="2" customWidth="1"/>
    <col min="4" max="4" width="1.42578125" style="2" customWidth="1"/>
    <col min="5" max="5" width="6.28515625" style="2" customWidth="1"/>
    <col min="6" max="6" width="21.5703125" style="2" customWidth="1"/>
    <col min="7" max="7" width="21" style="2" customWidth="1"/>
    <col min="8" max="8" width="10" style="2" customWidth="1"/>
    <col min="9" max="9" width="9.42578125" style="2" customWidth="1"/>
    <col min="10" max="11" width="6.28515625" style="2" customWidth="1"/>
    <col min="12" max="12" width="7.28515625" style="2" customWidth="1"/>
    <col min="13" max="13" width="5.42578125" style="2" customWidth="1"/>
    <col min="14" max="14" width="16.5703125" style="50" customWidth="1"/>
    <col min="15" max="15" width="5.5703125" style="2" customWidth="1"/>
    <col min="16" max="16" width="8" style="2" customWidth="1"/>
    <col min="17" max="17" width="5.42578125" style="2" customWidth="1"/>
    <col min="18" max="18" width="7.85546875" style="2" customWidth="1"/>
    <col min="19" max="19" width="16.28515625" style="50" customWidth="1"/>
    <col min="20" max="20" width="5.5703125" style="2" customWidth="1"/>
    <col min="21" max="21" width="6.28515625" style="2" customWidth="1"/>
    <col min="22" max="22" width="6.140625" style="2" customWidth="1"/>
    <col min="23" max="23" width="5.5703125" style="2" customWidth="1"/>
    <col min="24" max="24" width="16.5703125" style="50" customWidth="1"/>
    <col min="25" max="25" width="14.28515625" style="2" customWidth="1"/>
    <col min="26" max="26" width="14.7109375" style="2" customWidth="1"/>
    <col min="27" max="27" width="18.85546875" style="2" customWidth="1"/>
    <col min="28" max="28" width="17.42578125" style="2" customWidth="1"/>
    <col min="29" max="29" width="13.5703125" style="1" customWidth="1"/>
    <col min="30" max="30" width="15.42578125" style="1" bestFit="1" customWidth="1"/>
    <col min="31" max="31" width="11.42578125" style="1"/>
    <col min="32" max="32" width="18.140625" style="1" bestFit="1" customWidth="1"/>
    <col min="33" max="33" width="14.42578125" style="1" customWidth="1"/>
    <col min="34" max="34" width="12.85546875" style="1" bestFit="1" customWidth="1"/>
    <col min="35" max="35" width="18.140625" style="1" bestFit="1" customWidth="1"/>
    <col min="36" max="38" width="11.42578125" style="1"/>
    <col min="39" max="39" width="20.5703125" style="1" customWidth="1"/>
    <col min="40" max="45" width="11.42578125" style="1"/>
    <col min="46" max="16384" width="11.42578125" style="2"/>
  </cols>
  <sheetData>
    <row r="4" spans="1:45" ht="42" customHeight="1" x14ac:dyDescent="0.2">
      <c r="B4" s="86" t="s">
        <v>75</v>
      </c>
      <c r="C4" s="86"/>
      <c r="D4" s="86"/>
      <c r="E4" s="86"/>
      <c r="F4" s="86"/>
      <c r="G4" s="86"/>
      <c r="H4" s="86"/>
      <c r="I4" s="86"/>
      <c r="J4" s="86"/>
      <c r="K4" s="86"/>
      <c r="L4" s="86"/>
      <c r="M4" s="86"/>
      <c r="N4" s="86"/>
      <c r="O4" s="86"/>
      <c r="P4" s="86"/>
      <c r="Q4" s="86"/>
      <c r="R4" s="86"/>
      <c r="S4" s="86"/>
      <c r="T4" s="86"/>
      <c r="U4" s="86"/>
      <c r="V4" s="86"/>
      <c r="W4" s="86"/>
      <c r="X4" s="86"/>
      <c r="Y4" s="86"/>
      <c r="Z4" s="86"/>
      <c r="AA4" s="86"/>
      <c r="AB4" s="86"/>
    </row>
    <row r="5" spans="1:45" ht="20.45" customHeight="1" x14ac:dyDescent="0.2">
      <c r="B5" s="87" t="s">
        <v>76</v>
      </c>
      <c r="C5" s="88"/>
      <c r="D5" s="88"/>
      <c r="E5" s="88"/>
      <c r="F5" s="88"/>
      <c r="G5" s="88"/>
      <c r="H5" s="88"/>
      <c r="I5" s="88"/>
      <c r="J5" s="88"/>
      <c r="K5" s="88"/>
      <c r="L5" s="88"/>
      <c r="M5" s="88"/>
      <c r="N5" s="88"/>
      <c r="O5" s="88"/>
      <c r="P5" s="88"/>
      <c r="Q5" s="88"/>
      <c r="R5" s="88"/>
      <c r="S5" s="88"/>
      <c r="T5" s="88"/>
      <c r="U5" s="88"/>
      <c r="V5" s="88"/>
      <c r="W5" s="88"/>
      <c r="X5" s="88"/>
      <c r="Y5" s="88"/>
      <c r="Z5" s="88"/>
      <c r="AA5" s="88"/>
      <c r="AB5" s="89"/>
    </row>
    <row r="6" spans="1:45" ht="26.45" customHeight="1" x14ac:dyDescent="0.2">
      <c r="B6" s="87" t="s">
        <v>68</v>
      </c>
      <c r="C6" s="88"/>
      <c r="D6" s="88"/>
      <c r="E6" s="88"/>
      <c r="F6" s="88"/>
      <c r="G6" s="88"/>
      <c r="H6" s="88"/>
      <c r="I6" s="88"/>
      <c r="J6" s="88"/>
      <c r="K6" s="88"/>
      <c r="L6" s="88"/>
      <c r="M6" s="88"/>
      <c r="N6" s="88"/>
      <c r="O6" s="88"/>
      <c r="P6" s="88"/>
      <c r="Q6" s="88"/>
      <c r="R6" s="88"/>
      <c r="S6" s="88"/>
      <c r="T6" s="88"/>
      <c r="U6" s="88"/>
      <c r="V6" s="88"/>
      <c r="W6" s="88"/>
      <c r="X6" s="88"/>
      <c r="Y6" s="88"/>
      <c r="Z6" s="88"/>
      <c r="AA6" s="88"/>
      <c r="AB6" s="89"/>
    </row>
    <row r="7" spans="1:45" s="4" customFormat="1" ht="19.5" hidden="1" customHeight="1" x14ac:dyDescent="0.2">
      <c r="A7" s="3"/>
      <c r="B7" s="82" t="s">
        <v>44</v>
      </c>
      <c r="C7" s="82"/>
      <c r="D7" s="82"/>
      <c r="E7" s="90" t="s">
        <v>0</v>
      </c>
      <c r="F7" s="90"/>
      <c r="G7" s="90"/>
      <c r="H7" s="90"/>
      <c r="I7" s="90"/>
      <c r="J7" s="90"/>
      <c r="K7" s="90"/>
      <c r="L7" s="90"/>
      <c r="M7" s="90"/>
      <c r="N7" s="90"/>
      <c r="O7" s="90"/>
      <c r="P7" s="90"/>
      <c r="Q7" s="90"/>
      <c r="R7" s="90"/>
      <c r="S7" s="90"/>
      <c r="T7" s="90"/>
      <c r="U7" s="90"/>
      <c r="V7" s="90"/>
      <c r="W7" s="90"/>
      <c r="X7" s="90"/>
      <c r="Y7" s="90"/>
      <c r="Z7" s="90"/>
      <c r="AA7" s="90"/>
      <c r="AB7" s="90"/>
      <c r="AC7" s="3"/>
      <c r="AD7" s="3"/>
      <c r="AE7" s="3"/>
      <c r="AF7" s="3"/>
      <c r="AG7" s="3"/>
      <c r="AH7" s="3"/>
      <c r="AI7" s="3"/>
      <c r="AJ7" s="3"/>
      <c r="AK7" s="3"/>
      <c r="AL7" s="3"/>
      <c r="AM7" s="3"/>
      <c r="AN7" s="3"/>
      <c r="AO7" s="3"/>
      <c r="AP7" s="3"/>
      <c r="AQ7" s="3"/>
      <c r="AR7" s="3"/>
      <c r="AS7" s="3"/>
    </row>
    <row r="8" spans="1:45" s="4" customFormat="1" ht="19.5" hidden="1" customHeight="1" x14ac:dyDescent="0.2">
      <c r="A8" s="3"/>
      <c r="B8" s="82" t="s">
        <v>45</v>
      </c>
      <c r="C8" s="82"/>
      <c r="D8" s="82"/>
      <c r="E8" s="83" t="s">
        <v>1</v>
      </c>
      <c r="F8" s="84"/>
      <c r="G8" s="84"/>
      <c r="H8" s="84"/>
      <c r="I8" s="84"/>
      <c r="J8" s="84"/>
      <c r="K8" s="84"/>
      <c r="L8" s="84"/>
      <c r="M8" s="84"/>
      <c r="N8" s="84"/>
      <c r="O8" s="84"/>
      <c r="P8" s="84"/>
      <c r="Q8" s="84"/>
      <c r="R8" s="84"/>
      <c r="S8" s="84"/>
      <c r="T8" s="84"/>
      <c r="U8" s="84"/>
      <c r="V8" s="84"/>
      <c r="W8" s="84"/>
      <c r="X8" s="84"/>
      <c r="Y8" s="84"/>
      <c r="Z8" s="84"/>
      <c r="AA8" s="84"/>
      <c r="AB8" s="85"/>
      <c r="AC8" s="3"/>
      <c r="AD8" s="3"/>
      <c r="AE8" s="3"/>
      <c r="AF8" s="3"/>
      <c r="AG8" s="3"/>
      <c r="AH8" s="3"/>
      <c r="AI8" s="3"/>
      <c r="AJ8" s="3"/>
      <c r="AK8" s="3"/>
      <c r="AL8" s="3"/>
      <c r="AM8" s="3"/>
      <c r="AN8" s="3"/>
      <c r="AO8" s="3"/>
      <c r="AP8" s="3"/>
      <c r="AQ8" s="3"/>
      <c r="AR8" s="3"/>
      <c r="AS8" s="3"/>
    </row>
    <row r="9" spans="1:45" s="3" customFormat="1" ht="32.25" hidden="1" customHeight="1" x14ac:dyDescent="0.2">
      <c r="B9" s="96" t="s">
        <v>46</v>
      </c>
      <c r="C9" s="96"/>
      <c r="D9" s="96"/>
      <c r="E9" s="97" t="s">
        <v>27</v>
      </c>
      <c r="F9" s="97"/>
      <c r="G9" s="97"/>
      <c r="H9" s="97"/>
      <c r="I9" s="97"/>
      <c r="J9" s="97"/>
      <c r="K9" s="97"/>
      <c r="L9" s="97"/>
      <c r="M9" s="97"/>
      <c r="N9" s="97"/>
      <c r="O9" s="97"/>
      <c r="P9" s="97"/>
      <c r="Q9" s="97"/>
      <c r="R9" s="97"/>
      <c r="S9" s="97"/>
      <c r="T9" s="97"/>
      <c r="U9" s="97"/>
      <c r="V9" s="97"/>
      <c r="W9" s="97"/>
      <c r="X9" s="97"/>
      <c r="Y9" s="97"/>
      <c r="Z9" s="97"/>
      <c r="AA9" s="97"/>
      <c r="AB9" s="97"/>
    </row>
    <row r="10" spans="1:45" s="3" customFormat="1" ht="147" hidden="1" customHeight="1" x14ac:dyDescent="0.2">
      <c r="B10" s="82" t="s">
        <v>2</v>
      </c>
      <c r="C10" s="82"/>
      <c r="D10" s="82"/>
      <c r="E10" s="98" t="s">
        <v>51</v>
      </c>
      <c r="F10" s="98"/>
      <c r="G10" s="98"/>
      <c r="H10" s="98"/>
      <c r="I10" s="98"/>
      <c r="J10" s="98"/>
      <c r="K10" s="98"/>
      <c r="L10" s="98"/>
      <c r="M10" s="98"/>
      <c r="N10" s="98"/>
      <c r="O10" s="98"/>
      <c r="P10" s="98"/>
      <c r="Q10" s="98"/>
      <c r="R10" s="98"/>
      <c r="S10" s="98"/>
      <c r="T10" s="98"/>
      <c r="U10" s="98"/>
      <c r="V10" s="98"/>
      <c r="W10" s="98"/>
      <c r="X10" s="98"/>
      <c r="Y10" s="98"/>
      <c r="Z10" s="98"/>
      <c r="AA10" s="98"/>
      <c r="AB10" s="98"/>
    </row>
    <row r="11" spans="1:45" ht="29.25" hidden="1" customHeight="1" x14ac:dyDescent="0.2">
      <c r="B11" s="82" t="s">
        <v>28</v>
      </c>
      <c r="C11" s="82"/>
      <c r="D11" s="82"/>
      <c r="E11" s="90" t="s">
        <v>52</v>
      </c>
      <c r="F11" s="90"/>
      <c r="G11" s="90"/>
      <c r="H11" s="90"/>
      <c r="I11" s="90"/>
      <c r="J11" s="90"/>
      <c r="K11" s="90"/>
      <c r="L11" s="90"/>
      <c r="M11" s="90"/>
      <c r="N11" s="90"/>
      <c r="O11" s="90"/>
      <c r="P11" s="90"/>
      <c r="Q11" s="90"/>
      <c r="R11" s="90"/>
      <c r="S11" s="90"/>
      <c r="T11" s="90"/>
      <c r="U11" s="90"/>
      <c r="V11" s="90"/>
      <c r="W11" s="90"/>
      <c r="X11" s="90"/>
      <c r="Y11" s="90"/>
      <c r="Z11" s="90"/>
      <c r="AA11" s="90"/>
      <c r="AB11" s="90"/>
    </row>
    <row r="12" spans="1:45" ht="24" customHeight="1" x14ac:dyDescent="0.2">
      <c r="B12" s="91" t="s">
        <v>48</v>
      </c>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2"/>
      <c r="AC12" s="2"/>
      <c r="AD12" s="2"/>
      <c r="AE12" s="2"/>
      <c r="AF12" s="2"/>
      <c r="AG12" s="2"/>
      <c r="AH12" s="2"/>
      <c r="AI12" s="2"/>
      <c r="AJ12" s="2"/>
      <c r="AK12" s="2"/>
      <c r="AL12" s="2"/>
      <c r="AM12" s="2"/>
      <c r="AN12" s="2"/>
      <c r="AO12" s="2"/>
      <c r="AP12" s="2"/>
      <c r="AQ12" s="2"/>
      <c r="AR12" s="2"/>
      <c r="AS12" s="2"/>
    </row>
    <row r="13" spans="1:45" s="9" customFormat="1" ht="18" customHeight="1" x14ac:dyDescent="0.2">
      <c r="B13" s="93" t="s">
        <v>39</v>
      </c>
      <c r="C13" s="94"/>
      <c r="D13" s="94"/>
      <c r="E13" s="95"/>
      <c r="F13" s="99" t="s">
        <v>47</v>
      </c>
      <c r="G13" s="100"/>
      <c r="H13" s="100"/>
      <c r="I13" s="100"/>
      <c r="J13" s="100"/>
      <c r="K13" s="100"/>
      <c r="L13" s="100"/>
      <c r="M13" s="100"/>
      <c r="N13" s="100"/>
      <c r="O13" s="100"/>
      <c r="P13" s="100"/>
      <c r="Q13" s="100"/>
      <c r="R13" s="100"/>
      <c r="S13" s="100"/>
      <c r="T13" s="100"/>
      <c r="U13" s="100"/>
      <c r="V13" s="100"/>
      <c r="W13" s="100"/>
      <c r="X13" s="100"/>
      <c r="Y13" s="100"/>
      <c r="Z13" s="100"/>
      <c r="AA13" s="100"/>
      <c r="AB13" s="100"/>
      <c r="AC13" s="101"/>
    </row>
    <row r="14" spans="1:45" s="9" customFormat="1" ht="44.25" customHeight="1" x14ac:dyDescent="0.2">
      <c r="B14" s="93" t="s">
        <v>29</v>
      </c>
      <c r="C14" s="94"/>
      <c r="D14" s="94"/>
      <c r="E14" s="95"/>
      <c r="F14" s="102" t="s">
        <v>77</v>
      </c>
      <c r="G14" s="103"/>
      <c r="H14" s="103"/>
      <c r="I14" s="103"/>
      <c r="J14" s="103"/>
      <c r="K14" s="103"/>
      <c r="L14" s="103"/>
      <c r="M14" s="103"/>
      <c r="N14" s="103"/>
      <c r="O14" s="103"/>
      <c r="P14" s="103"/>
      <c r="Q14" s="103"/>
      <c r="R14" s="103"/>
      <c r="S14" s="103"/>
      <c r="T14" s="103"/>
      <c r="U14" s="103"/>
      <c r="V14" s="103"/>
      <c r="W14" s="103"/>
      <c r="X14" s="103"/>
      <c r="Y14" s="103"/>
      <c r="Z14" s="103"/>
      <c r="AA14" s="103"/>
      <c r="AB14" s="103"/>
      <c r="AC14" s="104"/>
    </row>
    <row r="15" spans="1:45" s="9" customFormat="1" ht="23.25" customHeight="1" x14ac:dyDescent="0.2">
      <c r="B15" s="93" t="s">
        <v>49</v>
      </c>
      <c r="C15" s="94"/>
      <c r="D15" s="94"/>
      <c r="E15" s="95"/>
      <c r="F15" s="102" t="s">
        <v>50</v>
      </c>
      <c r="G15" s="103"/>
      <c r="H15" s="103"/>
      <c r="I15" s="103"/>
      <c r="J15" s="103"/>
      <c r="K15" s="103"/>
      <c r="L15" s="103"/>
      <c r="M15" s="103"/>
      <c r="N15" s="103"/>
      <c r="O15" s="103"/>
      <c r="P15" s="103"/>
      <c r="Q15" s="103"/>
      <c r="R15" s="103"/>
      <c r="S15" s="103"/>
      <c r="T15" s="103"/>
      <c r="U15" s="103"/>
      <c r="V15" s="103"/>
      <c r="W15" s="103"/>
      <c r="X15" s="103"/>
      <c r="Y15" s="103"/>
      <c r="Z15" s="103"/>
      <c r="AA15" s="103"/>
      <c r="AB15" s="103"/>
      <c r="AC15" s="104"/>
    </row>
    <row r="16" spans="1:45" s="9" customFormat="1" ht="21" customHeight="1" x14ac:dyDescent="0.2">
      <c r="B16" s="118" t="s">
        <v>42</v>
      </c>
      <c r="C16" s="118"/>
      <c r="D16" s="118"/>
      <c r="E16" s="118"/>
      <c r="F16" s="118"/>
      <c r="G16" s="118"/>
      <c r="H16" s="118"/>
      <c r="I16" s="118"/>
      <c r="J16" s="118"/>
      <c r="K16" s="118"/>
      <c r="L16" s="118"/>
      <c r="M16" s="118"/>
      <c r="N16" s="118"/>
      <c r="O16" s="118"/>
      <c r="P16" s="118"/>
      <c r="Q16" s="118"/>
      <c r="R16" s="118"/>
      <c r="S16" s="118"/>
      <c r="T16" s="118"/>
      <c r="U16" s="118"/>
      <c r="V16" s="118"/>
      <c r="W16" s="118"/>
      <c r="X16" s="118"/>
      <c r="Y16" s="118"/>
      <c r="Z16" s="118"/>
      <c r="AA16" s="118"/>
      <c r="AB16" s="24"/>
    </row>
    <row r="17" spans="2:46" s="9" customFormat="1" ht="36" customHeight="1" x14ac:dyDescent="0.2">
      <c r="B17" s="119" t="s">
        <v>40</v>
      </c>
      <c r="C17" s="119"/>
      <c r="D17" s="119"/>
      <c r="E17" s="119"/>
      <c r="F17" s="120" t="s">
        <v>70</v>
      </c>
      <c r="G17" s="121"/>
      <c r="H17" s="121"/>
      <c r="I17" s="121"/>
      <c r="J17" s="121"/>
      <c r="K17" s="121"/>
      <c r="L17" s="121"/>
      <c r="M17" s="121"/>
      <c r="N17" s="121"/>
      <c r="O17" s="121"/>
      <c r="P17" s="121"/>
      <c r="Q17" s="121"/>
      <c r="R17" s="121"/>
      <c r="S17" s="121"/>
      <c r="T17" s="121"/>
      <c r="U17" s="121"/>
      <c r="V17" s="121"/>
      <c r="W17" s="121"/>
      <c r="X17" s="121"/>
      <c r="Y17" s="121"/>
      <c r="Z17" s="121"/>
      <c r="AA17" s="121"/>
      <c r="AB17" s="122"/>
    </row>
    <row r="18" spans="2:46" s="9" customFormat="1" ht="17.25" customHeight="1" x14ac:dyDescent="0.2">
      <c r="B18" s="119" t="s">
        <v>41</v>
      </c>
      <c r="C18" s="119"/>
      <c r="D18" s="119"/>
      <c r="E18" s="119"/>
      <c r="F18" s="120" t="s">
        <v>43</v>
      </c>
      <c r="G18" s="121"/>
      <c r="H18" s="121"/>
      <c r="I18" s="121"/>
      <c r="J18" s="121"/>
      <c r="K18" s="121"/>
      <c r="L18" s="121"/>
      <c r="M18" s="121"/>
      <c r="N18" s="121"/>
      <c r="O18" s="121"/>
      <c r="P18" s="121"/>
      <c r="Q18" s="121"/>
      <c r="R18" s="121"/>
      <c r="S18" s="121"/>
      <c r="T18" s="121"/>
      <c r="U18" s="121"/>
      <c r="V18" s="121"/>
      <c r="W18" s="121"/>
      <c r="X18" s="121"/>
      <c r="Y18" s="121"/>
      <c r="Z18" s="121"/>
      <c r="AA18" s="121"/>
      <c r="AB18" s="122"/>
    </row>
    <row r="19" spans="2:46" ht="19.149999999999999" customHeight="1" x14ac:dyDescent="0.2">
      <c r="B19" s="105"/>
      <c r="C19" s="108" t="s">
        <v>30</v>
      </c>
      <c r="D19" s="109"/>
      <c r="E19" s="110"/>
      <c r="F19" s="114" t="s">
        <v>31</v>
      </c>
      <c r="G19" s="116" t="s">
        <v>4</v>
      </c>
      <c r="H19" s="114" t="s">
        <v>3</v>
      </c>
      <c r="I19" s="130" t="s">
        <v>32</v>
      </c>
      <c r="J19" s="131" t="s">
        <v>71</v>
      </c>
      <c r="K19" s="131"/>
      <c r="L19" s="131"/>
      <c r="M19" s="131"/>
      <c r="N19" s="131"/>
      <c r="O19" s="131"/>
      <c r="P19" s="131"/>
      <c r="Q19" s="131"/>
      <c r="R19" s="131"/>
      <c r="S19" s="131"/>
      <c r="T19" s="131"/>
      <c r="U19" s="131"/>
      <c r="V19" s="131"/>
      <c r="W19" s="131"/>
      <c r="X19" s="131"/>
      <c r="Y19" s="131"/>
      <c r="Z19" s="131"/>
      <c r="AA19" s="131"/>
      <c r="AB19" s="61"/>
    </row>
    <row r="20" spans="2:46" ht="27" customHeight="1" x14ac:dyDescent="0.2">
      <c r="B20" s="106"/>
      <c r="C20" s="108"/>
      <c r="D20" s="109"/>
      <c r="E20" s="110"/>
      <c r="F20" s="115"/>
      <c r="G20" s="116"/>
      <c r="H20" s="115"/>
      <c r="I20" s="130"/>
      <c r="J20" s="132"/>
      <c r="K20" s="132"/>
      <c r="L20" s="132"/>
      <c r="M20" s="132"/>
      <c r="N20" s="62"/>
      <c r="O20" s="132"/>
      <c r="P20" s="132"/>
      <c r="Q20" s="132"/>
      <c r="R20" s="132"/>
      <c r="S20" s="62"/>
      <c r="T20" s="132"/>
      <c r="U20" s="132"/>
      <c r="V20" s="132"/>
      <c r="W20" s="132"/>
      <c r="X20" s="62"/>
      <c r="Y20" s="133" t="s">
        <v>5</v>
      </c>
      <c r="Z20" s="133"/>
      <c r="AA20" s="27"/>
      <c r="AB20" s="27"/>
    </row>
    <row r="21" spans="2:46" ht="62.45" customHeight="1" x14ac:dyDescent="0.2">
      <c r="B21" s="107"/>
      <c r="C21" s="111"/>
      <c r="D21" s="112"/>
      <c r="E21" s="113"/>
      <c r="F21" s="115"/>
      <c r="G21" s="117"/>
      <c r="H21" s="115"/>
      <c r="I21" s="114"/>
      <c r="J21" s="6" t="s">
        <v>6</v>
      </c>
      <c r="K21" s="6" t="s">
        <v>7</v>
      </c>
      <c r="L21" s="6" t="s">
        <v>8</v>
      </c>
      <c r="M21" s="6" t="s">
        <v>9</v>
      </c>
      <c r="N21" s="52" t="s">
        <v>38</v>
      </c>
      <c r="O21" s="7" t="s">
        <v>10</v>
      </c>
      <c r="P21" s="7" t="s">
        <v>11</v>
      </c>
      <c r="Q21" s="7" t="s">
        <v>12</v>
      </c>
      <c r="R21" s="7" t="s">
        <v>13</v>
      </c>
      <c r="S21" s="52" t="s">
        <v>36</v>
      </c>
      <c r="T21" s="7" t="s">
        <v>14</v>
      </c>
      <c r="U21" s="7" t="s">
        <v>15</v>
      </c>
      <c r="V21" s="7" t="s">
        <v>16</v>
      </c>
      <c r="W21" s="7" t="s">
        <v>17</v>
      </c>
      <c r="X21" s="52" t="s">
        <v>37</v>
      </c>
      <c r="Y21" s="23" t="s">
        <v>33</v>
      </c>
      <c r="Z21" s="23" t="s">
        <v>34</v>
      </c>
      <c r="AA21" s="23" t="s">
        <v>73</v>
      </c>
      <c r="AB21" s="22" t="s">
        <v>35</v>
      </c>
      <c r="AM21" s="8"/>
    </row>
    <row r="22" spans="2:46" ht="106.9" customHeight="1" x14ac:dyDescent="0.2">
      <c r="B22" s="5"/>
      <c r="C22" s="128" t="s">
        <v>20</v>
      </c>
      <c r="D22" s="129"/>
      <c r="E22" s="129"/>
      <c r="F22" s="16"/>
      <c r="G22" s="11"/>
      <c r="H22" s="10" t="s">
        <v>18</v>
      </c>
      <c r="I22" s="18">
        <f>+I23</f>
        <v>93435.42</v>
      </c>
      <c r="J22" s="18">
        <f>SUM(J24:J26)</f>
        <v>7786.2849999999999</v>
      </c>
      <c r="K22" s="18">
        <f t="shared" ref="K22:M22" si="0">SUM(K24:K26)</f>
        <v>7786.2849999999999</v>
      </c>
      <c r="L22" s="18">
        <f t="shared" si="0"/>
        <v>7786.2849999999999</v>
      </c>
      <c r="M22" s="18">
        <f t="shared" si="0"/>
        <v>7786.2849999999999</v>
      </c>
      <c r="N22" s="53">
        <f>SUM(J22:M22)</f>
        <v>31145.14</v>
      </c>
      <c r="O22" s="18">
        <f>SUM(O24:O26)</f>
        <v>7786.2849999999999</v>
      </c>
      <c r="P22" s="18">
        <f t="shared" ref="P22:R22" si="1">SUM(P24:P26)</f>
        <v>7786.2849999999999</v>
      </c>
      <c r="Q22" s="18">
        <f t="shared" si="1"/>
        <v>7786.2849999999999</v>
      </c>
      <c r="R22" s="18">
        <f t="shared" si="1"/>
        <v>7786.2849999999999</v>
      </c>
      <c r="S22" s="53">
        <f>SUM(O22:R22)</f>
        <v>31145.14</v>
      </c>
      <c r="T22" s="18">
        <f>SUM(T24:T26)</f>
        <v>7786.2849999999999</v>
      </c>
      <c r="U22" s="18">
        <f t="shared" ref="U22:W22" si="2">SUM(U24:U26)</f>
        <v>7786.2849999999999</v>
      </c>
      <c r="V22" s="18">
        <f t="shared" si="2"/>
        <v>7786.2849999999999</v>
      </c>
      <c r="W22" s="18">
        <f t="shared" si="2"/>
        <v>7786.2849999999999</v>
      </c>
      <c r="X22" s="53">
        <f>SUM(T22:W22)</f>
        <v>31145.14</v>
      </c>
      <c r="Y22" s="15">
        <f>SUM(N22+S22+X22)</f>
        <v>93435.42</v>
      </c>
      <c r="Z22" s="26">
        <f t="shared" ref="Z22:Z25" si="3">SUM(Y22/I22)</f>
        <v>1</v>
      </c>
      <c r="AA22" s="13">
        <v>30000000</v>
      </c>
      <c r="AB22" s="126" t="s">
        <v>72</v>
      </c>
      <c r="AC22" s="8"/>
      <c r="AD22" s="31"/>
      <c r="AF22" s="29"/>
      <c r="AG22" s="31"/>
      <c r="AH22" s="33"/>
      <c r="AI22" s="34"/>
    </row>
    <row r="23" spans="2:46" ht="81" customHeight="1" x14ac:dyDescent="0.2">
      <c r="B23" s="5"/>
      <c r="C23" s="123"/>
      <c r="D23" s="124"/>
      <c r="E23" s="125"/>
      <c r="F23" s="16" t="s">
        <v>21</v>
      </c>
      <c r="G23" s="11"/>
      <c r="H23" s="12" t="s">
        <v>18</v>
      </c>
      <c r="I23" s="18">
        <f>SUM(I24:I26)</f>
        <v>93435.42</v>
      </c>
      <c r="J23" s="15">
        <f>SUM(J24:J26)</f>
        <v>7786.2849999999999</v>
      </c>
      <c r="K23" s="15">
        <f t="shared" ref="K23:M23" si="4">SUM(K24:K26)</f>
        <v>7786.2849999999999</v>
      </c>
      <c r="L23" s="15">
        <f t="shared" si="4"/>
        <v>7786.2849999999999</v>
      </c>
      <c r="M23" s="15">
        <f t="shared" si="4"/>
        <v>7786.2849999999999</v>
      </c>
      <c r="N23" s="53">
        <f>SUM(J23:M23)</f>
        <v>31145.14</v>
      </c>
      <c r="O23" s="15">
        <f t="shared" ref="O23:R23" si="5">SUM(O24:O26)</f>
        <v>7786.2849999999999</v>
      </c>
      <c r="P23" s="15">
        <f t="shared" si="5"/>
        <v>7786.2849999999999</v>
      </c>
      <c r="Q23" s="15">
        <f t="shared" si="5"/>
        <v>7786.2849999999999</v>
      </c>
      <c r="R23" s="15">
        <f t="shared" si="5"/>
        <v>7786.2849999999999</v>
      </c>
      <c r="S23" s="53">
        <f>SUM(O23:R23)</f>
        <v>31145.14</v>
      </c>
      <c r="T23" s="15">
        <f t="shared" ref="T23:W23" si="6">SUM(T24:T26)</f>
        <v>7786.2849999999999</v>
      </c>
      <c r="U23" s="15">
        <f t="shared" si="6"/>
        <v>7786.2849999999999</v>
      </c>
      <c r="V23" s="15">
        <f t="shared" si="6"/>
        <v>7786.2849999999999</v>
      </c>
      <c r="W23" s="15">
        <f t="shared" si="6"/>
        <v>7786.2849999999999</v>
      </c>
      <c r="X23" s="53">
        <f>SUM(T23:W23)</f>
        <v>31145.14</v>
      </c>
      <c r="Y23" s="15">
        <f>SUM(N23+S23+X23)</f>
        <v>93435.42</v>
      </c>
      <c r="Z23" s="26">
        <f t="shared" si="3"/>
        <v>1</v>
      </c>
      <c r="AA23" s="13">
        <v>30000000</v>
      </c>
      <c r="AB23" s="127"/>
      <c r="AC23" s="8"/>
      <c r="AD23" s="31"/>
      <c r="AF23" s="29"/>
      <c r="AG23" s="31"/>
      <c r="AH23" s="31"/>
    </row>
    <row r="24" spans="2:46" ht="24" customHeight="1" x14ac:dyDescent="0.2">
      <c r="B24" s="5"/>
      <c r="C24" s="123"/>
      <c r="D24" s="124"/>
      <c r="E24" s="125"/>
      <c r="F24" s="21"/>
      <c r="G24" s="17" t="s">
        <v>22</v>
      </c>
      <c r="H24" s="12" t="s">
        <v>18</v>
      </c>
      <c r="I24" s="18">
        <v>8287.3799999999992</v>
      </c>
      <c r="J24" s="15">
        <v>690.6149999999999</v>
      </c>
      <c r="K24" s="15">
        <v>690.6149999999999</v>
      </c>
      <c r="L24" s="15">
        <v>690.6149999999999</v>
      </c>
      <c r="M24" s="15">
        <v>690.6149999999999</v>
      </c>
      <c r="N24" s="53">
        <f t="shared" ref="N24:N44" si="7">SUM(J24:M24)</f>
        <v>2762.4599999999996</v>
      </c>
      <c r="O24" s="15">
        <v>690.6149999999999</v>
      </c>
      <c r="P24" s="15">
        <v>690.6149999999999</v>
      </c>
      <c r="Q24" s="15">
        <v>690.6149999999999</v>
      </c>
      <c r="R24" s="15">
        <v>690.6149999999999</v>
      </c>
      <c r="S24" s="53">
        <f t="shared" ref="S24:S44" si="8">SUM(O24:R24)</f>
        <v>2762.4599999999996</v>
      </c>
      <c r="T24" s="15">
        <v>690.6149999999999</v>
      </c>
      <c r="U24" s="15">
        <v>690.6149999999999</v>
      </c>
      <c r="V24" s="15">
        <v>690.6149999999999</v>
      </c>
      <c r="W24" s="15">
        <v>690.6149999999999</v>
      </c>
      <c r="X24" s="53">
        <f t="shared" ref="X24:X44" si="9">SUM(T24:W24)</f>
        <v>2762.4599999999996</v>
      </c>
      <c r="Y24" s="15">
        <f t="shared" ref="Y24:Y25" si="10">SUM(N24+S24+X24)</f>
        <v>8287.3799999999992</v>
      </c>
      <c r="Z24" s="26">
        <f>SUM(Y24/I24)</f>
        <v>1</v>
      </c>
      <c r="AA24" s="13">
        <f>+Y24/2*12</f>
        <v>49724.28</v>
      </c>
      <c r="AB24" s="14"/>
      <c r="AC24" s="30"/>
      <c r="AD24" s="35"/>
      <c r="AE24" s="3"/>
      <c r="AF24" s="3"/>
      <c r="AG24" s="32"/>
      <c r="AH24" s="3"/>
      <c r="AI24" s="3"/>
      <c r="AJ24" s="3"/>
      <c r="AK24" s="3"/>
    </row>
    <row r="25" spans="2:46" ht="24" customHeight="1" x14ac:dyDescent="0.2">
      <c r="B25" s="5"/>
      <c r="C25" s="123"/>
      <c r="D25" s="124"/>
      <c r="E25" s="125"/>
      <c r="F25" s="21"/>
      <c r="G25" s="17" t="s">
        <v>23</v>
      </c>
      <c r="H25" s="12" t="s">
        <v>18</v>
      </c>
      <c r="I25" s="18">
        <v>31678.68</v>
      </c>
      <c r="J25" s="15">
        <v>2639.89</v>
      </c>
      <c r="K25" s="15">
        <v>2639.89</v>
      </c>
      <c r="L25" s="15">
        <v>2639.89</v>
      </c>
      <c r="M25" s="15">
        <v>2639.89</v>
      </c>
      <c r="N25" s="53">
        <f t="shared" si="7"/>
        <v>10559.56</v>
      </c>
      <c r="O25" s="15">
        <v>2639.89</v>
      </c>
      <c r="P25" s="15">
        <v>2639.89</v>
      </c>
      <c r="Q25" s="15">
        <v>2639.89</v>
      </c>
      <c r="R25" s="15">
        <v>2639.89</v>
      </c>
      <c r="S25" s="53">
        <f t="shared" si="8"/>
        <v>10559.56</v>
      </c>
      <c r="T25" s="15">
        <v>2639.89</v>
      </c>
      <c r="U25" s="15">
        <v>2639.89</v>
      </c>
      <c r="V25" s="15">
        <v>2639.89</v>
      </c>
      <c r="W25" s="15">
        <v>2639.89</v>
      </c>
      <c r="X25" s="53">
        <f t="shared" si="9"/>
        <v>10559.56</v>
      </c>
      <c r="Y25" s="15">
        <f t="shared" si="10"/>
        <v>31678.68</v>
      </c>
      <c r="Z25" s="26">
        <f t="shared" si="3"/>
        <v>1</v>
      </c>
      <c r="AA25" s="13">
        <f t="shared" ref="AA25:AA44" si="11">+Y25/2*12</f>
        <v>190072.08000000002</v>
      </c>
      <c r="AB25" s="14"/>
      <c r="AC25" s="30"/>
      <c r="AD25" s="3"/>
      <c r="AE25" s="3"/>
      <c r="AF25" s="3"/>
      <c r="AG25" s="3"/>
      <c r="AH25" s="3"/>
      <c r="AI25" s="3"/>
      <c r="AJ25" s="3"/>
      <c r="AK25" s="3"/>
    </row>
    <row r="26" spans="2:46" ht="24" customHeight="1" x14ac:dyDescent="0.2">
      <c r="B26" s="5"/>
      <c r="C26" s="123"/>
      <c r="D26" s="124"/>
      <c r="E26" s="125"/>
      <c r="F26" s="21"/>
      <c r="G26" s="17" t="s">
        <v>24</v>
      </c>
      <c r="H26" s="12" t="s">
        <v>18</v>
      </c>
      <c r="I26" s="18">
        <v>53469.36</v>
      </c>
      <c r="J26" s="15">
        <v>4455.78</v>
      </c>
      <c r="K26" s="15">
        <v>4455.78</v>
      </c>
      <c r="L26" s="15">
        <v>4455.78</v>
      </c>
      <c r="M26" s="15">
        <v>4455.78</v>
      </c>
      <c r="N26" s="53">
        <f t="shared" si="7"/>
        <v>17823.12</v>
      </c>
      <c r="O26" s="15">
        <v>4455.78</v>
      </c>
      <c r="P26" s="15">
        <v>4455.78</v>
      </c>
      <c r="Q26" s="15">
        <v>4455.78</v>
      </c>
      <c r="R26" s="15">
        <v>4455.78</v>
      </c>
      <c r="S26" s="53">
        <f t="shared" si="8"/>
        <v>17823.12</v>
      </c>
      <c r="T26" s="15">
        <v>4455.78</v>
      </c>
      <c r="U26" s="15">
        <v>4455.78</v>
      </c>
      <c r="V26" s="15">
        <v>4455.78</v>
      </c>
      <c r="W26" s="15">
        <v>4455.78</v>
      </c>
      <c r="X26" s="53">
        <f t="shared" si="9"/>
        <v>17823.12</v>
      </c>
      <c r="Y26" s="15">
        <f>SUM(N26+S26+X26)</f>
        <v>53469.36</v>
      </c>
      <c r="Z26" s="26">
        <f>SUM(Y26/I26)</f>
        <v>1</v>
      </c>
      <c r="AA26" s="13">
        <f t="shared" si="11"/>
        <v>320816.16000000003</v>
      </c>
      <c r="AB26" s="14"/>
      <c r="AC26" s="30"/>
      <c r="AD26" s="3"/>
      <c r="AE26" s="3"/>
      <c r="AF26" s="3"/>
      <c r="AG26" s="3"/>
      <c r="AH26" s="3"/>
      <c r="AI26" s="3"/>
      <c r="AJ26" s="3"/>
      <c r="AK26" s="3"/>
    </row>
    <row r="27" spans="2:46" ht="24" customHeight="1" x14ac:dyDescent="0.2">
      <c r="B27" s="5"/>
      <c r="C27" s="58"/>
      <c r="D27" s="59"/>
      <c r="E27" s="60"/>
      <c r="F27" s="21"/>
      <c r="G27" s="17"/>
      <c r="H27" s="12"/>
      <c r="I27" s="18"/>
      <c r="J27" s="15"/>
      <c r="K27" s="15"/>
      <c r="L27" s="15"/>
      <c r="M27" s="15"/>
      <c r="N27" s="53"/>
      <c r="O27" s="15"/>
      <c r="P27" s="15"/>
      <c r="Q27" s="15"/>
      <c r="R27" s="15"/>
      <c r="S27" s="53"/>
      <c r="T27" s="15"/>
      <c r="U27" s="15"/>
      <c r="V27" s="15"/>
      <c r="W27" s="15"/>
      <c r="X27" s="53"/>
      <c r="Y27" s="15"/>
      <c r="Z27" s="26"/>
      <c r="AA27" s="13"/>
      <c r="AB27" s="14"/>
      <c r="AC27" s="30"/>
      <c r="AD27" s="3"/>
      <c r="AE27" s="3"/>
      <c r="AF27" s="3"/>
      <c r="AG27" s="3"/>
      <c r="AH27" s="3"/>
      <c r="AI27" s="3"/>
      <c r="AJ27" s="3"/>
      <c r="AK27" s="3"/>
    </row>
    <row r="28" spans="2:46" ht="24" customHeight="1" x14ac:dyDescent="0.2">
      <c r="B28" s="5"/>
      <c r="C28" s="58"/>
      <c r="D28" s="59"/>
      <c r="E28" s="60"/>
      <c r="F28" s="21"/>
      <c r="G28" s="17"/>
      <c r="H28" s="12"/>
      <c r="I28" s="18"/>
      <c r="J28" s="15"/>
      <c r="K28" s="15"/>
      <c r="L28" s="15"/>
      <c r="M28" s="15"/>
      <c r="N28" s="53"/>
      <c r="O28" s="15"/>
      <c r="P28" s="15"/>
      <c r="Q28" s="15"/>
      <c r="R28" s="15"/>
      <c r="S28" s="53"/>
      <c r="T28" s="15"/>
      <c r="U28" s="15"/>
      <c r="V28" s="15"/>
      <c r="W28" s="15"/>
      <c r="X28" s="53"/>
      <c r="Y28" s="15"/>
      <c r="Z28" s="26"/>
      <c r="AA28" s="13"/>
      <c r="AB28" s="14"/>
      <c r="AC28" s="30"/>
      <c r="AD28" s="3"/>
      <c r="AE28" s="3"/>
      <c r="AF28" s="3"/>
      <c r="AG28" s="3"/>
      <c r="AH28" s="3"/>
      <c r="AI28" s="3"/>
      <c r="AJ28" s="3"/>
      <c r="AK28" s="3"/>
    </row>
    <row r="29" spans="2:46" ht="24" customHeight="1" x14ac:dyDescent="0.2">
      <c r="B29" s="5"/>
      <c r="C29" s="123"/>
      <c r="D29" s="124"/>
      <c r="E29" s="125"/>
      <c r="F29" s="21"/>
      <c r="G29" s="41" t="s">
        <v>54</v>
      </c>
      <c r="H29" s="12" t="s">
        <v>19</v>
      </c>
      <c r="I29" s="42">
        <v>18.54</v>
      </c>
      <c r="J29" s="42">
        <v>1.5449999999999999</v>
      </c>
      <c r="K29" s="42">
        <v>1.5449999999999999</v>
      </c>
      <c r="L29" s="42">
        <v>1.5449999999999999</v>
      </c>
      <c r="M29" s="42">
        <v>1.5449999999999999</v>
      </c>
      <c r="N29" s="53">
        <f t="shared" si="7"/>
        <v>6.18</v>
      </c>
      <c r="O29" s="42">
        <v>1.5449999999999999</v>
      </c>
      <c r="P29" s="42">
        <v>1.5449999999999999</v>
      </c>
      <c r="Q29" s="42">
        <v>1.5449999999999999</v>
      </c>
      <c r="R29" s="42">
        <v>1.5449999999999999</v>
      </c>
      <c r="S29" s="53">
        <f t="shared" si="8"/>
        <v>6.18</v>
      </c>
      <c r="T29" s="42">
        <v>1.5449999999999999</v>
      </c>
      <c r="U29" s="42">
        <v>1.5449999999999999</v>
      </c>
      <c r="V29" s="42">
        <v>1.5449999999999999</v>
      </c>
      <c r="W29" s="42">
        <v>1.5449999999999999</v>
      </c>
      <c r="X29" s="53">
        <f t="shared" si="9"/>
        <v>6.18</v>
      </c>
      <c r="Y29" s="15">
        <f t="shared" ref="Y29:Y44" si="12">SUM(N29+S29+X29)</f>
        <v>18.54</v>
      </c>
      <c r="Z29" s="26">
        <f t="shared" ref="Z29:Z44" si="13">SUM(Y29/I29)</f>
        <v>1</v>
      </c>
      <c r="AA29" s="13">
        <f t="shared" si="11"/>
        <v>111.24</v>
      </c>
      <c r="AB29" s="14"/>
      <c r="AC29" s="3"/>
      <c r="AD29" s="3"/>
      <c r="AE29" s="3"/>
      <c r="AF29" s="3"/>
      <c r="AG29" s="3"/>
      <c r="AH29" s="3"/>
      <c r="AI29" s="3"/>
      <c r="AJ29" s="3"/>
      <c r="AK29" s="3"/>
      <c r="AL29" s="3"/>
      <c r="AT29" s="1"/>
    </row>
    <row r="30" spans="2:46" ht="24" customHeight="1" x14ac:dyDescent="0.2">
      <c r="B30" s="5"/>
      <c r="C30" s="123"/>
      <c r="D30" s="124"/>
      <c r="E30" s="125"/>
      <c r="F30" s="21"/>
      <c r="G30" s="41" t="s">
        <v>25</v>
      </c>
      <c r="H30" s="12" t="s">
        <v>19</v>
      </c>
      <c r="I30" s="42">
        <v>6</v>
      </c>
      <c r="J30" s="42">
        <v>0.5</v>
      </c>
      <c r="K30" s="42">
        <v>0.5</v>
      </c>
      <c r="L30" s="42">
        <v>0.5</v>
      </c>
      <c r="M30" s="42">
        <v>0.5</v>
      </c>
      <c r="N30" s="53">
        <f t="shared" si="7"/>
        <v>2</v>
      </c>
      <c r="O30" s="42">
        <v>0.5</v>
      </c>
      <c r="P30" s="42">
        <v>0.5</v>
      </c>
      <c r="Q30" s="42">
        <v>0.5</v>
      </c>
      <c r="R30" s="42">
        <v>0.5</v>
      </c>
      <c r="S30" s="53">
        <f t="shared" si="8"/>
        <v>2</v>
      </c>
      <c r="T30" s="42">
        <v>0.5</v>
      </c>
      <c r="U30" s="42">
        <v>0.5</v>
      </c>
      <c r="V30" s="42">
        <v>0.5</v>
      </c>
      <c r="W30" s="42">
        <v>0.5</v>
      </c>
      <c r="X30" s="53">
        <f t="shared" si="9"/>
        <v>2</v>
      </c>
      <c r="Y30" s="15">
        <f t="shared" si="12"/>
        <v>6</v>
      </c>
      <c r="Z30" s="26">
        <f t="shared" si="13"/>
        <v>1</v>
      </c>
      <c r="AA30" s="13">
        <f t="shared" si="11"/>
        <v>36</v>
      </c>
      <c r="AB30" s="14"/>
      <c r="AC30" s="3"/>
      <c r="AD30" s="3"/>
      <c r="AE30" s="3"/>
      <c r="AF30" s="3"/>
      <c r="AG30" s="3"/>
      <c r="AH30" s="3"/>
      <c r="AI30" s="3"/>
      <c r="AJ30" s="3"/>
      <c r="AK30" s="3"/>
      <c r="AL30" s="3"/>
      <c r="AT30" s="1"/>
    </row>
    <row r="31" spans="2:46" ht="24" customHeight="1" x14ac:dyDescent="0.2">
      <c r="B31" s="5"/>
      <c r="C31" s="123"/>
      <c r="D31" s="124"/>
      <c r="E31" s="125"/>
      <c r="F31" s="21"/>
      <c r="G31" s="41" t="s">
        <v>55</v>
      </c>
      <c r="H31" s="12" t="s">
        <v>19</v>
      </c>
      <c r="I31" s="42">
        <v>6124.38</v>
      </c>
      <c r="J31" s="42">
        <v>510.36500000000001</v>
      </c>
      <c r="K31" s="42">
        <v>510.36500000000001</v>
      </c>
      <c r="L31" s="42">
        <v>510.36500000000001</v>
      </c>
      <c r="M31" s="42">
        <v>510.36500000000001</v>
      </c>
      <c r="N31" s="53">
        <f t="shared" si="7"/>
        <v>2041.46</v>
      </c>
      <c r="O31" s="42">
        <v>510.36500000000001</v>
      </c>
      <c r="P31" s="42">
        <v>510.36500000000001</v>
      </c>
      <c r="Q31" s="42">
        <v>510.36500000000001</v>
      </c>
      <c r="R31" s="42">
        <v>510.36500000000001</v>
      </c>
      <c r="S31" s="53">
        <f t="shared" si="8"/>
        <v>2041.46</v>
      </c>
      <c r="T31" s="42">
        <v>510.36500000000001</v>
      </c>
      <c r="U31" s="42">
        <v>510.36500000000001</v>
      </c>
      <c r="V31" s="42">
        <v>510.36500000000001</v>
      </c>
      <c r="W31" s="42">
        <v>510.36500000000001</v>
      </c>
      <c r="X31" s="53">
        <f t="shared" si="9"/>
        <v>2041.46</v>
      </c>
      <c r="Y31" s="15">
        <f t="shared" si="12"/>
        <v>6124.38</v>
      </c>
      <c r="Z31" s="26">
        <f t="shared" si="13"/>
        <v>1</v>
      </c>
      <c r="AA31" s="13">
        <f t="shared" si="11"/>
        <v>36746.28</v>
      </c>
      <c r="AB31" s="14"/>
      <c r="AC31" s="3"/>
      <c r="AD31" s="3"/>
      <c r="AE31" s="3"/>
      <c r="AF31" s="3"/>
      <c r="AG31" s="3"/>
      <c r="AH31" s="3"/>
      <c r="AI31" s="3"/>
      <c r="AJ31" s="3"/>
      <c r="AK31" s="3"/>
      <c r="AL31" s="3"/>
      <c r="AT31" s="1"/>
    </row>
    <row r="32" spans="2:46" ht="24" customHeight="1" x14ac:dyDescent="0.2">
      <c r="B32" s="5"/>
      <c r="C32" s="123"/>
      <c r="D32" s="124"/>
      <c r="E32" s="125"/>
      <c r="F32" s="21"/>
      <c r="G32" s="41" t="s">
        <v>56</v>
      </c>
      <c r="H32" s="12" t="s">
        <v>19</v>
      </c>
      <c r="I32" s="42">
        <v>3769.8</v>
      </c>
      <c r="J32" s="42">
        <v>314.15000000000003</v>
      </c>
      <c r="K32" s="42">
        <v>314.15000000000003</v>
      </c>
      <c r="L32" s="42">
        <v>314.15000000000003</v>
      </c>
      <c r="M32" s="42">
        <v>314.15000000000003</v>
      </c>
      <c r="N32" s="53">
        <f t="shared" si="7"/>
        <v>1256.6000000000001</v>
      </c>
      <c r="O32" s="42">
        <v>314.15000000000003</v>
      </c>
      <c r="P32" s="42">
        <v>314.15000000000003</v>
      </c>
      <c r="Q32" s="42">
        <v>314.15000000000003</v>
      </c>
      <c r="R32" s="42">
        <v>314.15000000000003</v>
      </c>
      <c r="S32" s="53">
        <f t="shared" si="8"/>
        <v>1256.6000000000001</v>
      </c>
      <c r="T32" s="42">
        <v>314.15000000000003</v>
      </c>
      <c r="U32" s="42">
        <v>314.15000000000003</v>
      </c>
      <c r="V32" s="42">
        <v>314.15000000000003</v>
      </c>
      <c r="W32" s="42">
        <v>314.15000000000003</v>
      </c>
      <c r="X32" s="53">
        <f t="shared" si="9"/>
        <v>1256.6000000000001</v>
      </c>
      <c r="Y32" s="15">
        <f t="shared" si="12"/>
        <v>3769.8</v>
      </c>
      <c r="Z32" s="26">
        <f t="shared" si="13"/>
        <v>1</v>
      </c>
      <c r="AA32" s="13">
        <f t="shared" si="11"/>
        <v>22618.800000000003</v>
      </c>
      <c r="AB32" s="14"/>
      <c r="AC32" s="3"/>
      <c r="AD32" s="3"/>
      <c r="AE32" s="3"/>
      <c r="AF32" s="3"/>
      <c r="AG32" s="3"/>
      <c r="AH32" s="3"/>
      <c r="AI32" s="3"/>
      <c r="AJ32" s="3"/>
      <c r="AK32" s="3"/>
      <c r="AL32" s="3"/>
      <c r="AT32" s="1"/>
    </row>
    <row r="33" spans="2:46" ht="24" customHeight="1" x14ac:dyDescent="0.2">
      <c r="B33" s="5"/>
      <c r="C33" s="123"/>
      <c r="D33" s="124"/>
      <c r="E33" s="125"/>
      <c r="F33" s="21"/>
      <c r="G33" s="41" t="s">
        <v>57</v>
      </c>
      <c r="H33" s="12" t="s">
        <v>19</v>
      </c>
      <c r="I33" s="42">
        <v>8621.1</v>
      </c>
      <c r="J33" s="42">
        <v>718.42500000000007</v>
      </c>
      <c r="K33" s="42">
        <v>718.42500000000007</v>
      </c>
      <c r="L33" s="42">
        <v>718.42500000000007</v>
      </c>
      <c r="M33" s="42">
        <v>718.42500000000007</v>
      </c>
      <c r="N33" s="53">
        <f t="shared" si="7"/>
        <v>2873.7000000000003</v>
      </c>
      <c r="O33" s="42">
        <v>718.42500000000007</v>
      </c>
      <c r="P33" s="42">
        <v>718.42500000000007</v>
      </c>
      <c r="Q33" s="42">
        <v>718.42500000000007</v>
      </c>
      <c r="R33" s="42">
        <v>718.42500000000007</v>
      </c>
      <c r="S33" s="53">
        <f t="shared" si="8"/>
        <v>2873.7000000000003</v>
      </c>
      <c r="T33" s="42">
        <v>718.42500000000007</v>
      </c>
      <c r="U33" s="42">
        <v>718.42500000000007</v>
      </c>
      <c r="V33" s="42">
        <v>718.42500000000007</v>
      </c>
      <c r="W33" s="42">
        <v>718.42500000000007</v>
      </c>
      <c r="X33" s="53">
        <f t="shared" si="9"/>
        <v>2873.7000000000003</v>
      </c>
      <c r="Y33" s="15">
        <f t="shared" si="12"/>
        <v>8621.1</v>
      </c>
      <c r="Z33" s="26">
        <f t="shared" si="13"/>
        <v>1</v>
      </c>
      <c r="AA33" s="13">
        <f t="shared" si="11"/>
        <v>51726.600000000006</v>
      </c>
      <c r="AB33" s="14"/>
      <c r="AC33" s="3"/>
      <c r="AD33" s="3"/>
      <c r="AE33" s="3"/>
      <c r="AF33" s="3"/>
      <c r="AG33" s="3"/>
      <c r="AH33" s="3"/>
      <c r="AI33" s="3"/>
      <c r="AJ33" s="3"/>
      <c r="AK33" s="3"/>
      <c r="AL33" s="3"/>
      <c r="AT33" s="1"/>
    </row>
    <row r="34" spans="2:46" ht="24" customHeight="1" x14ac:dyDescent="0.2">
      <c r="B34" s="5"/>
      <c r="C34" s="123"/>
      <c r="D34" s="124"/>
      <c r="E34" s="125"/>
      <c r="F34" s="21"/>
      <c r="G34" s="41" t="s">
        <v>58</v>
      </c>
      <c r="H34" s="12" t="s">
        <v>19</v>
      </c>
      <c r="I34" s="42">
        <v>15128.64</v>
      </c>
      <c r="J34" s="42">
        <v>1260.72</v>
      </c>
      <c r="K34" s="42">
        <v>1260.72</v>
      </c>
      <c r="L34" s="42">
        <v>1260.72</v>
      </c>
      <c r="M34" s="42">
        <v>1260.72</v>
      </c>
      <c r="N34" s="53">
        <f t="shared" si="7"/>
        <v>5042.88</v>
      </c>
      <c r="O34" s="42">
        <v>1260.72</v>
      </c>
      <c r="P34" s="42">
        <v>1260.72</v>
      </c>
      <c r="Q34" s="42">
        <v>1260.72</v>
      </c>
      <c r="R34" s="42">
        <v>1260.72</v>
      </c>
      <c r="S34" s="53">
        <f t="shared" si="8"/>
        <v>5042.88</v>
      </c>
      <c r="T34" s="42">
        <v>1260.72</v>
      </c>
      <c r="U34" s="42">
        <v>1260.72</v>
      </c>
      <c r="V34" s="42">
        <v>1260.72</v>
      </c>
      <c r="W34" s="42">
        <v>1260.72</v>
      </c>
      <c r="X34" s="53">
        <f t="shared" si="9"/>
        <v>5042.88</v>
      </c>
      <c r="Y34" s="15">
        <f t="shared" si="12"/>
        <v>15128.64</v>
      </c>
      <c r="Z34" s="26">
        <f t="shared" si="13"/>
        <v>1</v>
      </c>
      <c r="AA34" s="13">
        <f t="shared" si="11"/>
        <v>90771.839999999997</v>
      </c>
      <c r="AB34" s="14"/>
      <c r="AC34" s="3"/>
      <c r="AD34" s="3"/>
      <c r="AE34" s="3"/>
      <c r="AF34" s="3"/>
      <c r="AG34" s="3"/>
      <c r="AH34" s="3"/>
      <c r="AI34" s="3"/>
      <c r="AJ34" s="3"/>
      <c r="AK34" s="3"/>
      <c r="AL34" s="3"/>
      <c r="AT34" s="1"/>
    </row>
    <row r="35" spans="2:46" ht="24" customHeight="1" x14ac:dyDescent="0.2">
      <c r="B35" s="5"/>
      <c r="C35" s="123"/>
      <c r="D35" s="124"/>
      <c r="E35" s="125"/>
      <c r="F35" s="21"/>
      <c r="G35" s="41" t="s">
        <v>59</v>
      </c>
      <c r="H35" s="12" t="s">
        <v>19</v>
      </c>
      <c r="I35" s="42">
        <v>33990</v>
      </c>
      <c r="J35" s="42">
        <v>2832.5</v>
      </c>
      <c r="K35" s="42">
        <v>2832.5</v>
      </c>
      <c r="L35" s="42">
        <v>2832.5</v>
      </c>
      <c r="M35" s="42">
        <v>2832.5</v>
      </c>
      <c r="N35" s="53">
        <f t="shared" si="7"/>
        <v>11330</v>
      </c>
      <c r="O35" s="42">
        <v>2832.5</v>
      </c>
      <c r="P35" s="42">
        <v>2832.5</v>
      </c>
      <c r="Q35" s="42">
        <v>2832.5</v>
      </c>
      <c r="R35" s="42">
        <v>2832.5</v>
      </c>
      <c r="S35" s="53">
        <f t="shared" si="8"/>
        <v>11330</v>
      </c>
      <c r="T35" s="42">
        <v>2832.5</v>
      </c>
      <c r="U35" s="42">
        <v>2832.5</v>
      </c>
      <c r="V35" s="42">
        <v>2832.5</v>
      </c>
      <c r="W35" s="42">
        <v>2832.5</v>
      </c>
      <c r="X35" s="53">
        <f t="shared" si="9"/>
        <v>11330</v>
      </c>
      <c r="Y35" s="15">
        <f t="shared" si="12"/>
        <v>33990</v>
      </c>
      <c r="Z35" s="26">
        <f t="shared" si="13"/>
        <v>1</v>
      </c>
      <c r="AA35" s="13">
        <f t="shared" si="11"/>
        <v>203940</v>
      </c>
      <c r="AB35" s="14"/>
      <c r="AC35" s="3"/>
      <c r="AD35" s="3"/>
      <c r="AE35" s="3"/>
      <c r="AF35" s="3"/>
      <c r="AG35" s="3"/>
      <c r="AH35" s="3"/>
      <c r="AI35" s="3"/>
      <c r="AJ35" s="3"/>
      <c r="AK35" s="3"/>
      <c r="AL35" s="3"/>
      <c r="AT35" s="1"/>
    </row>
    <row r="36" spans="2:46" ht="24" customHeight="1" x14ac:dyDescent="0.2">
      <c r="B36" s="5"/>
      <c r="C36" s="123"/>
      <c r="D36" s="124"/>
      <c r="E36" s="125"/>
      <c r="F36" s="21"/>
      <c r="G36" s="41" t="s">
        <v>60</v>
      </c>
      <c r="H36" s="12" t="s">
        <v>19</v>
      </c>
      <c r="I36" s="42">
        <v>4288.92</v>
      </c>
      <c r="J36" s="42">
        <v>357.41</v>
      </c>
      <c r="K36" s="42">
        <v>357.41</v>
      </c>
      <c r="L36" s="42">
        <v>357.41</v>
      </c>
      <c r="M36" s="42">
        <v>357.41</v>
      </c>
      <c r="N36" s="53">
        <f t="shared" si="7"/>
        <v>1429.64</v>
      </c>
      <c r="O36" s="42">
        <v>357.41</v>
      </c>
      <c r="P36" s="42">
        <v>357.41</v>
      </c>
      <c r="Q36" s="42">
        <v>357.41</v>
      </c>
      <c r="R36" s="42">
        <v>357.41</v>
      </c>
      <c r="S36" s="53">
        <f t="shared" si="8"/>
        <v>1429.64</v>
      </c>
      <c r="T36" s="42">
        <v>357.41</v>
      </c>
      <c r="U36" s="42">
        <v>357.41</v>
      </c>
      <c r="V36" s="42">
        <v>357.41</v>
      </c>
      <c r="W36" s="42">
        <v>357.41</v>
      </c>
      <c r="X36" s="53">
        <f t="shared" si="9"/>
        <v>1429.64</v>
      </c>
      <c r="Y36" s="15">
        <f t="shared" si="12"/>
        <v>4288.92</v>
      </c>
      <c r="Z36" s="26">
        <f t="shared" si="13"/>
        <v>1</v>
      </c>
      <c r="AA36" s="13">
        <f t="shared" si="11"/>
        <v>25733.52</v>
      </c>
      <c r="AB36" s="14"/>
      <c r="AC36" s="3"/>
      <c r="AD36" s="3"/>
      <c r="AE36" s="3"/>
      <c r="AF36" s="3"/>
      <c r="AG36" s="3"/>
      <c r="AH36" s="3"/>
      <c r="AI36" s="3"/>
      <c r="AJ36" s="3"/>
      <c r="AK36" s="3"/>
      <c r="AL36" s="3"/>
      <c r="AT36" s="1"/>
    </row>
    <row r="37" spans="2:46" ht="24" customHeight="1" x14ac:dyDescent="0.2">
      <c r="B37" s="5"/>
      <c r="C37" s="123"/>
      <c r="D37" s="124"/>
      <c r="E37" s="125"/>
      <c r="F37" s="21"/>
      <c r="G37" s="41" t="s">
        <v>61</v>
      </c>
      <c r="H37" s="12" t="s">
        <v>19</v>
      </c>
      <c r="I37" s="42">
        <v>3108.54</v>
      </c>
      <c r="J37" s="42">
        <v>259.04500000000002</v>
      </c>
      <c r="K37" s="42">
        <v>259.04500000000002</v>
      </c>
      <c r="L37" s="42">
        <v>259.04500000000002</v>
      </c>
      <c r="M37" s="42">
        <v>259.04500000000002</v>
      </c>
      <c r="N37" s="53">
        <f t="shared" si="7"/>
        <v>1036.18</v>
      </c>
      <c r="O37" s="42">
        <v>259.04500000000002</v>
      </c>
      <c r="P37" s="42">
        <v>259.04500000000002</v>
      </c>
      <c r="Q37" s="42">
        <v>259.04500000000002</v>
      </c>
      <c r="R37" s="42">
        <v>259.04500000000002</v>
      </c>
      <c r="S37" s="53">
        <f t="shared" si="8"/>
        <v>1036.18</v>
      </c>
      <c r="T37" s="42">
        <v>259.04500000000002</v>
      </c>
      <c r="U37" s="42">
        <v>259.04500000000002</v>
      </c>
      <c r="V37" s="42">
        <v>259.04500000000002</v>
      </c>
      <c r="W37" s="42">
        <v>259.04500000000002</v>
      </c>
      <c r="X37" s="53">
        <f t="shared" si="9"/>
        <v>1036.18</v>
      </c>
      <c r="Y37" s="15">
        <f t="shared" si="12"/>
        <v>3108.54</v>
      </c>
      <c r="Z37" s="26">
        <f t="shared" si="13"/>
        <v>1</v>
      </c>
      <c r="AA37" s="13">
        <f t="shared" si="11"/>
        <v>18651.239999999998</v>
      </c>
      <c r="AB37" s="14"/>
      <c r="AC37" s="3"/>
      <c r="AD37" s="3"/>
      <c r="AE37" s="3"/>
      <c r="AF37" s="3"/>
      <c r="AG37" s="3"/>
      <c r="AH37" s="3"/>
      <c r="AI37" s="3"/>
      <c r="AJ37" s="3"/>
      <c r="AK37" s="3"/>
      <c r="AL37" s="3"/>
      <c r="AT37" s="1"/>
    </row>
    <row r="38" spans="2:46" ht="24" customHeight="1" x14ac:dyDescent="0.2">
      <c r="B38" s="5"/>
      <c r="C38" s="123"/>
      <c r="D38" s="124"/>
      <c r="E38" s="125"/>
      <c r="F38" s="21"/>
      <c r="G38" s="41" t="s">
        <v>62</v>
      </c>
      <c r="H38" s="12" t="s">
        <v>19</v>
      </c>
      <c r="I38" s="42">
        <v>23731.200000000001</v>
      </c>
      <c r="J38" s="42">
        <v>1977.6000000000001</v>
      </c>
      <c r="K38" s="42">
        <v>1977.6000000000001</v>
      </c>
      <c r="L38" s="42">
        <v>1977.6000000000001</v>
      </c>
      <c r="M38" s="42">
        <v>1977.6000000000001</v>
      </c>
      <c r="N38" s="53">
        <f t="shared" si="7"/>
        <v>7910.4000000000005</v>
      </c>
      <c r="O38" s="42">
        <v>1977.6000000000001</v>
      </c>
      <c r="P38" s="42">
        <v>1977.6000000000001</v>
      </c>
      <c r="Q38" s="42">
        <v>1977.6000000000001</v>
      </c>
      <c r="R38" s="42">
        <v>1977.6000000000001</v>
      </c>
      <c r="S38" s="53">
        <f t="shared" si="8"/>
        <v>7910.4000000000005</v>
      </c>
      <c r="T38" s="42">
        <v>1977.6000000000001</v>
      </c>
      <c r="U38" s="42">
        <v>1977.6000000000001</v>
      </c>
      <c r="V38" s="42">
        <v>1977.6000000000001</v>
      </c>
      <c r="W38" s="42">
        <v>1977.6000000000001</v>
      </c>
      <c r="X38" s="53">
        <f t="shared" si="9"/>
        <v>7910.4000000000005</v>
      </c>
      <c r="Y38" s="15">
        <f t="shared" si="12"/>
        <v>23731.200000000001</v>
      </c>
      <c r="Z38" s="26">
        <f t="shared" si="13"/>
        <v>1</v>
      </c>
      <c r="AA38" s="13">
        <f t="shared" si="11"/>
        <v>142387.20000000001</v>
      </c>
      <c r="AB38" s="14"/>
      <c r="AC38" s="3"/>
      <c r="AD38" s="3"/>
      <c r="AE38" s="3"/>
      <c r="AF38" s="3"/>
      <c r="AG38" s="3"/>
      <c r="AH38" s="3"/>
      <c r="AI38" s="3"/>
      <c r="AJ38" s="3"/>
      <c r="AK38" s="3"/>
      <c r="AL38" s="3"/>
      <c r="AT38" s="1"/>
    </row>
    <row r="39" spans="2:46" ht="24" customHeight="1" x14ac:dyDescent="0.2">
      <c r="B39" s="5"/>
      <c r="C39" s="123"/>
      <c r="D39" s="124"/>
      <c r="E39" s="125"/>
      <c r="F39" s="21"/>
      <c r="G39" s="41" t="s">
        <v>63</v>
      </c>
      <c r="H39" s="12" t="s">
        <v>19</v>
      </c>
      <c r="I39" s="42">
        <v>1816.92</v>
      </c>
      <c r="J39" s="42">
        <v>151.41</v>
      </c>
      <c r="K39" s="42">
        <v>151.41</v>
      </c>
      <c r="L39" s="42">
        <v>151.41</v>
      </c>
      <c r="M39" s="42">
        <v>151.41</v>
      </c>
      <c r="N39" s="53">
        <f t="shared" si="7"/>
        <v>605.64</v>
      </c>
      <c r="O39" s="42">
        <v>151.41</v>
      </c>
      <c r="P39" s="42">
        <v>151.41</v>
      </c>
      <c r="Q39" s="42">
        <v>151.41</v>
      </c>
      <c r="R39" s="42">
        <v>151.41</v>
      </c>
      <c r="S39" s="53">
        <f t="shared" si="8"/>
        <v>605.64</v>
      </c>
      <c r="T39" s="42">
        <v>151.41</v>
      </c>
      <c r="U39" s="42">
        <v>151.41</v>
      </c>
      <c r="V39" s="42">
        <v>151.41</v>
      </c>
      <c r="W39" s="42">
        <v>151.41</v>
      </c>
      <c r="X39" s="53">
        <f t="shared" si="9"/>
        <v>605.64</v>
      </c>
      <c r="Y39" s="15">
        <f t="shared" si="12"/>
        <v>1816.92</v>
      </c>
      <c r="Z39" s="26">
        <f t="shared" si="13"/>
        <v>1</v>
      </c>
      <c r="AA39" s="13">
        <f t="shared" si="11"/>
        <v>10901.52</v>
      </c>
      <c r="AB39" s="14"/>
      <c r="AC39" s="3"/>
      <c r="AD39" s="3"/>
      <c r="AE39" s="3"/>
      <c r="AF39" s="3"/>
      <c r="AG39" s="3"/>
      <c r="AH39" s="3"/>
      <c r="AI39" s="3"/>
      <c r="AJ39" s="3"/>
      <c r="AK39" s="3"/>
      <c r="AL39" s="3"/>
      <c r="AT39" s="1"/>
    </row>
    <row r="40" spans="2:46" ht="24" customHeight="1" x14ac:dyDescent="0.2">
      <c r="B40" s="5"/>
      <c r="C40" s="123"/>
      <c r="D40" s="124"/>
      <c r="E40" s="125"/>
      <c r="F40" s="21"/>
      <c r="G40" s="41" t="s">
        <v>26</v>
      </c>
      <c r="H40" s="12" t="s">
        <v>19</v>
      </c>
      <c r="I40" s="42">
        <v>185.4</v>
      </c>
      <c r="J40" s="42">
        <v>15.450000000000001</v>
      </c>
      <c r="K40" s="42">
        <v>15.450000000000001</v>
      </c>
      <c r="L40" s="42">
        <v>15.450000000000001</v>
      </c>
      <c r="M40" s="42">
        <v>15.450000000000001</v>
      </c>
      <c r="N40" s="53">
        <f t="shared" si="7"/>
        <v>61.800000000000004</v>
      </c>
      <c r="O40" s="42">
        <v>15.450000000000001</v>
      </c>
      <c r="P40" s="42">
        <v>15.450000000000001</v>
      </c>
      <c r="Q40" s="42">
        <v>15.450000000000001</v>
      </c>
      <c r="R40" s="42">
        <v>15.450000000000001</v>
      </c>
      <c r="S40" s="53">
        <f t="shared" si="8"/>
        <v>61.800000000000004</v>
      </c>
      <c r="T40" s="42">
        <v>15.450000000000001</v>
      </c>
      <c r="U40" s="42">
        <v>15.450000000000001</v>
      </c>
      <c r="V40" s="42">
        <v>15.450000000000001</v>
      </c>
      <c r="W40" s="42">
        <v>15.450000000000001</v>
      </c>
      <c r="X40" s="53">
        <f t="shared" si="9"/>
        <v>61.800000000000004</v>
      </c>
      <c r="Y40" s="15">
        <f t="shared" si="12"/>
        <v>185.4</v>
      </c>
      <c r="Z40" s="26">
        <f t="shared" si="13"/>
        <v>1</v>
      </c>
      <c r="AA40" s="13">
        <f t="shared" si="11"/>
        <v>1112.4000000000001</v>
      </c>
      <c r="AB40" s="14"/>
      <c r="AC40" s="3"/>
      <c r="AD40" s="3"/>
      <c r="AE40" s="3"/>
      <c r="AF40" s="3"/>
      <c r="AG40" s="3"/>
      <c r="AH40" s="3"/>
      <c r="AI40" s="3"/>
      <c r="AJ40" s="3"/>
      <c r="AK40" s="3"/>
      <c r="AL40" s="3"/>
      <c r="AT40" s="1"/>
    </row>
    <row r="41" spans="2:46" ht="24" customHeight="1" x14ac:dyDescent="0.2">
      <c r="B41" s="5"/>
      <c r="C41" s="123"/>
      <c r="D41" s="124"/>
      <c r="E41" s="125"/>
      <c r="F41" s="21"/>
      <c r="G41" s="17" t="s">
        <v>64</v>
      </c>
      <c r="H41" s="12" t="s">
        <v>19</v>
      </c>
      <c r="I41" s="42">
        <v>60032.52</v>
      </c>
      <c r="J41" s="42">
        <v>5002.71</v>
      </c>
      <c r="K41" s="42">
        <v>5002.71</v>
      </c>
      <c r="L41" s="42">
        <v>5002.71</v>
      </c>
      <c r="M41" s="42">
        <v>5002.71</v>
      </c>
      <c r="N41" s="53">
        <f t="shared" si="7"/>
        <v>20010.84</v>
      </c>
      <c r="O41" s="42">
        <v>5002.71</v>
      </c>
      <c r="P41" s="42">
        <v>5002.71</v>
      </c>
      <c r="Q41" s="42">
        <v>5002.71</v>
      </c>
      <c r="R41" s="42">
        <v>5002.71</v>
      </c>
      <c r="S41" s="53">
        <f t="shared" si="8"/>
        <v>20010.84</v>
      </c>
      <c r="T41" s="42">
        <v>5002.71</v>
      </c>
      <c r="U41" s="42">
        <v>5002.71</v>
      </c>
      <c r="V41" s="42">
        <v>5002.71</v>
      </c>
      <c r="W41" s="42">
        <v>5002.71</v>
      </c>
      <c r="X41" s="53">
        <f t="shared" si="9"/>
        <v>20010.84</v>
      </c>
      <c r="Y41" s="15">
        <f t="shared" si="12"/>
        <v>60032.520000000004</v>
      </c>
      <c r="Z41" s="26">
        <f t="shared" si="13"/>
        <v>1.0000000000000002</v>
      </c>
      <c r="AA41" s="13">
        <f t="shared" si="11"/>
        <v>360195.12</v>
      </c>
      <c r="AB41" s="14"/>
      <c r="AC41" s="3"/>
      <c r="AD41" s="3"/>
      <c r="AE41" s="3"/>
      <c r="AF41" s="3"/>
      <c r="AG41" s="3"/>
      <c r="AH41" s="3"/>
      <c r="AI41" s="3"/>
      <c r="AJ41" s="3"/>
      <c r="AK41" s="3"/>
      <c r="AL41" s="3"/>
      <c r="AT41" s="1"/>
    </row>
    <row r="42" spans="2:46" ht="24" customHeight="1" x14ac:dyDescent="0.2">
      <c r="B42" s="5"/>
      <c r="C42" s="123"/>
      <c r="D42" s="124"/>
      <c r="E42" s="125"/>
      <c r="F42" s="21"/>
      <c r="G42" s="45" t="s">
        <v>65</v>
      </c>
      <c r="H42" s="12" t="s">
        <v>66</v>
      </c>
      <c r="I42" s="42">
        <v>30689.88</v>
      </c>
      <c r="J42" s="42">
        <v>2557.4900000000002</v>
      </c>
      <c r="K42" s="42">
        <v>2557.4900000000002</v>
      </c>
      <c r="L42" s="42">
        <v>2557.4900000000002</v>
      </c>
      <c r="M42" s="42">
        <v>2557.4900000000002</v>
      </c>
      <c r="N42" s="53">
        <f t="shared" si="7"/>
        <v>10229.960000000001</v>
      </c>
      <c r="O42" s="42">
        <v>2557.4900000000002</v>
      </c>
      <c r="P42" s="42">
        <v>2557.4900000000002</v>
      </c>
      <c r="Q42" s="42">
        <v>2557.4900000000002</v>
      </c>
      <c r="R42" s="42">
        <v>2557.4900000000002</v>
      </c>
      <c r="S42" s="53">
        <f t="shared" si="8"/>
        <v>10229.960000000001</v>
      </c>
      <c r="T42" s="42">
        <v>2557.4900000000002</v>
      </c>
      <c r="U42" s="42">
        <v>2557.4900000000002</v>
      </c>
      <c r="V42" s="42">
        <v>2557.4900000000002</v>
      </c>
      <c r="W42" s="42">
        <v>2557.4900000000002</v>
      </c>
      <c r="X42" s="53">
        <f t="shared" si="9"/>
        <v>10229.960000000001</v>
      </c>
      <c r="Y42" s="15">
        <f t="shared" si="12"/>
        <v>30689.880000000005</v>
      </c>
      <c r="Z42" s="26">
        <f t="shared" si="13"/>
        <v>1.0000000000000002</v>
      </c>
      <c r="AA42" s="13">
        <f t="shared" si="11"/>
        <v>184139.28000000003</v>
      </c>
      <c r="AB42" s="14"/>
      <c r="AC42" s="3"/>
      <c r="AD42" s="3"/>
      <c r="AE42" s="3"/>
      <c r="AF42" s="3"/>
      <c r="AG42" s="3"/>
      <c r="AH42" s="3"/>
      <c r="AI42" s="3"/>
      <c r="AJ42" s="3"/>
      <c r="AK42" s="3"/>
      <c r="AL42" s="3"/>
      <c r="AT42" s="1"/>
    </row>
    <row r="43" spans="2:46" ht="24" customHeight="1" x14ac:dyDescent="0.2">
      <c r="B43" s="5"/>
      <c r="C43" s="123"/>
      <c r="D43" s="124"/>
      <c r="E43" s="125"/>
      <c r="F43" s="21"/>
      <c r="G43" s="45" t="s">
        <v>67</v>
      </c>
      <c r="H43" s="12" t="s">
        <v>19</v>
      </c>
      <c r="I43" s="42">
        <v>24.72</v>
      </c>
      <c r="J43" s="42">
        <v>2.06</v>
      </c>
      <c r="K43" s="42">
        <v>2.06</v>
      </c>
      <c r="L43" s="42">
        <v>2.06</v>
      </c>
      <c r="M43" s="42">
        <v>2.06</v>
      </c>
      <c r="N43" s="53">
        <f t="shared" si="7"/>
        <v>8.24</v>
      </c>
      <c r="O43" s="42">
        <v>2.06</v>
      </c>
      <c r="P43" s="42">
        <v>2.06</v>
      </c>
      <c r="Q43" s="42">
        <v>2.06</v>
      </c>
      <c r="R43" s="42">
        <v>2.06</v>
      </c>
      <c r="S43" s="53">
        <f t="shared" si="8"/>
        <v>8.24</v>
      </c>
      <c r="T43" s="42">
        <v>2.06</v>
      </c>
      <c r="U43" s="42">
        <v>2.06</v>
      </c>
      <c r="V43" s="42">
        <v>2.06</v>
      </c>
      <c r="W43" s="42">
        <v>2.06</v>
      </c>
      <c r="X43" s="53">
        <f t="shared" si="9"/>
        <v>8.24</v>
      </c>
      <c r="Y43" s="15">
        <f t="shared" si="12"/>
        <v>24.72</v>
      </c>
      <c r="Z43" s="26">
        <f t="shared" si="13"/>
        <v>1</v>
      </c>
      <c r="AA43" s="13">
        <f t="shared" si="11"/>
        <v>148.32</v>
      </c>
      <c r="AB43" s="14"/>
      <c r="AC43" s="3"/>
      <c r="AD43" s="3"/>
      <c r="AE43" s="3"/>
      <c r="AF43" s="3"/>
      <c r="AG43" s="3"/>
      <c r="AH43" s="3"/>
      <c r="AI43" s="3"/>
      <c r="AJ43" s="3"/>
      <c r="AK43" s="3"/>
      <c r="AL43" s="3"/>
      <c r="AT43" s="1"/>
    </row>
    <row r="44" spans="2:46" ht="24" customHeight="1" x14ac:dyDescent="0.2">
      <c r="B44" s="46"/>
      <c r="C44" s="123"/>
      <c r="D44" s="124"/>
      <c r="E44" s="125"/>
      <c r="F44" s="21"/>
      <c r="G44" s="47" t="s">
        <v>69</v>
      </c>
      <c r="H44" s="48" t="s">
        <v>66</v>
      </c>
      <c r="I44" s="42">
        <v>31283.16</v>
      </c>
      <c r="J44" s="49">
        <v>2606.9299999999998</v>
      </c>
      <c r="K44" s="49">
        <v>2606.9299999999998</v>
      </c>
      <c r="L44" s="49">
        <v>2606.9299999999998</v>
      </c>
      <c r="M44" s="49">
        <v>2606.9299999999998</v>
      </c>
      <c r="N44" s="53">
        <f t="shared" si="7"/>
        <v>10427.719999999999</v>
      </c>
      <c r="O44" s="49">
        <v>2606.9299999999998</v>
      </c>
      <c r="P44" s="49">
        <v>2606.9299999999998</v>
      </c>
      <c r="Q44" s="49">
        <v>2606.9299999999998</v>
      </c>
      <c r="R44" s="49">
        <v>2606.9299999999998</v>
      </c>
      <c r="S44" s="53">
        <f t="shared" si="8"/>
        <v>10427.719999999999</v>
      </c>
      <c r="T44" s="49">
        <v>2606.9299999999998</v>
      </c>
      <c r="U44" s="49">
        <v>2606.9299999999998</v>
      </c>
      <c r="V44" s="49">
        <v>2606.9299999999998</v>
      </c>
      <c r="W44" s="49">
        <v>2606.9299999999998</v>
      </c>
      <c r="X44" s="53">
        <f t="shared" si="9"/>
        <v>10427.719999999999</v>
      </c>
      <c r="Y44" s="15">
        <f t="shared" si="12"/>
        <v>31283.159999999996</v>
      </c>
      <c r="Z44" s="26">
        <f t="shared" si="13"/>
        <v>0.99999999999999989</v>
      </c>
      <c r="AA44" s="13">
        <f t="shared" si="11"/>
        <v>187698.95999999996</v>
      </c>
      <c r="AB44" s="14"/>
      <c r="AC44" s="3"/>
      <c r="AD44" s="3"/>
      <c r="AE44" s="3"/>
      <c r="AF44" s="3"/>
      <c r="AG44" s="3"/>
      <c r="AH44" s="3"/>
      <c r="AI44" s="3"/>
      <c r="AJ44" s="3"/>
      <c r="AK44" s="3"/>
      <c r="AL44" s="3"/>
      <c r="AT44" s="1"/>
    </row>
    <row r="45" spans="2:46" ht="26.25" customHeight="1" x14ac:dyDescent="0.3">
      <c r="B45" s="25"/>
      <c r="C45" s="134" t="s">
        <v>74</v>
      </c>
      <c r="D45" s="135"/>
      <c r="E45" s="135"/>
      <c r="F45" s="135"/>
      <c r="G45" s="135"/>
      <c r="H45" s="135"/>
      <c r="I45" s="135"/>
      <c r="J45" s="135"/>
      <c r="K45" s="135"/>
      <c r="L45" s="135"/>
      <c r="M45" s="135"/>
      <c r="N45" s="135"/>
      <c r="O45" s="135"/>
      <c r="P45" s="135"/>
      <c r="Q45" s="135"/>
      <c r="R45" s="135"/>
      <c r="S45" s="135"/>
      <c r="T45" s="135"/>
      <c r="U45" s="135"/>
      <c r="V45" s="135"/>
      <c r="W45" s="135"/>
      <c r="X45" s="135"/>
      <c r="Y45" s="135"/>
      <c r="Z45" s="135"/>
      <c r="AA45" s="135"/>
      <c r="AB45" s="25"/>
      <c r="AC45" s="2"/>
      <c r="AD45" s="2"/>
      <c r="AE45" s="2"/>
      <c r="AF45" s="2"/>
      <c r="AG45" s="2"/>
      <c r="AH45" s="37"/>
      <c r="AI45" s="39"/>
      <c r="AJ45" s="36"/>
      <c r="AK45" s="20"/>
      <c r="AL45" s="2"/>
      <c r="AM45" s="2"/>
      <c r="AN45" s="2"/>
      <c r="AO45" s="2"/>
      <c r="AP45" s="2"/>
      <c r="AQ45" s="2"/>
      <c r="AR45" s="2"/>
      <c r="AS45" s="2"/>
    </row>
    <row r="46" spans="2:46" x14ac:dyDescent="0.2">
      <c r="AA46" s="19"/>
      <c r="AB46" s="19"/>
      <c r="AH46" s="38"/>
      <c r="AI46" s="38"/>
      <c r="AJ46" s="8"/>
      <c r="AK46" s="8"/>
    </row>
    <row r="47" spans="2:46" x14ac:dyDescent="0.2">
      <c r="P47" s="43"/>
    </row>
    <row r="48" spans="2:46" x14ac:dyDescent="0.2">
      <c r="P48" s="44"/>
      <c r="S48" s="54"/>
      <c r="AA48" s="20"/>
      <c r="AB48" s="20"/>
    </row>
    <row r="49" spans="14:28" ht="15" x14ac:dyDescent="0.2">
      <c r="P49" s="44"/>
      <c r="AB49" s="40"/>
    </row>
    <row r="50" spans="14:28" x14ac:dyDescent="0.2">
      <c r="P50" s="44"/>
    </row>
    <row r="51" spans="14:28" x14ac:dyDescent="0.2">
      <c r="P51" s="37"/>
    </row>
    <row r="55" spans="14:28" x14ac:dyDescent="0.2">
      <c r="N55" s="50" t="s">
        <v>53</v>
      </c>
    </row>
  </sheetData>
  <mergeCells count="59">
    <mergeCell ref="C41:E41"/>
    <mergeCell ref="C42:E42"/>
    <mergeCell ref="C43:E43"/>
    <mergeCell ref="C44:E44"/>
    <mergeCell ref="C45:AA45"/>
    <mergeCell ref="I19:I21"/>
    <mergeCell ref="J19:AA19"/>
    <mergeCell ref="J20:M20"/>
    <mergeCell ref="O20:R20"/>
    <mergeCell ref="T20:W20"/>
    <mergeCell ref="Y20:Z20"/>
    <mergeCell ref="AB22:AB23"/>
    <mergeCell ref="C23:E23"/>
    <mergeCell ref="C24:E24"/>
    <mergeCell ref="C25:E25"/>
    <mergeCell ref="C37:E37"/>
    <mergeCell ref="C26:E26"/>
    <mergeCell ref="C22:E22"/>
    <mergeCell ref="C38:E38"/>
    <mergeCell ref="C39:E39"/>
    <mergeCell ref="C40:E40"/>
    <mergeCell ref="C29:E29"/>
    <mergeCell ref="C30:E30"/>
    <mergeCell ref="C31:E31"/>
    <mergeCell ref="C32:E32"/>
    <mergeCell ref="C33:E33"/>
    <mergeCell ref="C34:E34"/>
    <mergeCell ref="C35:E35"/>
    <mergeCell ref="C36:E36"/>
    <mergeCell ref="B16:AA16"/>
    <mergeCell ref="B17:E17"/>
    <mergeCell ref="F17:AB17"/>
    <mergeCell ref="B18:E18"/>
    <mergeCell ref="F18:AB18"/>
    <mergeCell ref="B19:B21"/>
    <mergeCell ref="C19:E21"/>
    <mergeCell ref="F19:F21"/>
    <mergeCell ref="G19:G21"/>
    <mergeCell ref="H19:H21"/>
    <mergeCell ref="B12:AB12"/>
    <mergeCell ref="B13:E13"/>
    <mergeCell ref="B14:E14"/>
    <mergeCell ref="B15:E15"/>
    <mergeCell ref="B9:D9"/>
    <mergeCell ref="E9:AB9"/>
    <mergeCell ref="B10:D10"/>
    <mergeCell ref="E10:AB10"/>
    <mergeCell ref="B11:D11"/>
    <mergeCell ref="E11:AB11"/>
    <mergeCell ref="F13:AC13"/>
    <mergeCell ref="F14:AC14"/>
    <mergeCell ref="F15:AC15"/>
    <mergeCell ref="B8:D8"/>
    <mergeCell ref="E8:AB8"/>
    <mergeCell ref="B4:AB4"/>
    <mergeCell ref="B5:AB5"/>
    <mergeCell ref="B6:AB6"/>
    <mergeCell ref="B7:D7"/>
    <mergeCell ref="E7:AB7"/>
  </mergeCells>
  <printOptions horizontalCentered="1" verticalCentered="1"/>
  <pageMargins left="0.19685039370078741" right="0.19685039370078741" top="0.19685039370078741" bottom="0.78740157480314965" header="0.39370078740157483" footer="0.39370078740157483"/>
  <pageSetup scale="44" orientation="landscape" r:id="rId1"/>
  <headerFooter>
    <oddFooter>&amp;C&amp;9PLAN OPERATIVO ANUAL, 2022&amp;R&amp;P</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4:AT55"/>
  <sheetViews>
    <sheetView showGridLines="0" view="pageBreakPreview" topLeftCell="A27" zoomScale="85" zoomScaleNormal="85" zoomScaleSheetLayoutView="85" workbookViewId="0">
      <selection activeCell="B4" sqref="B4:AB45"/>
    </sheetView>
  </sheetViews>
  <sheetFormatPr baseColWidth="10" defaultColWidth="11.42578125" defaultRowHeight="12.75" x14ac:dyDescent="0.2"/>
  <cols>
    <col min="1" max="1" width="5.85546875" style="2" customWidth="1"/>
    <col min="2" max="2" width="4.28515625" style="2" customWidth="1"/>
    <col min="3" max="3" width="12.28515625" style="2" customWidth="1"/>
    <col min="4" max="4" width="1.42578125" style="2" customWidth="1"/>
    <col min="5" max="5" width="6.28515625" style="2" customWidth="1"/>
    <col min="6" max="6" width="21.5703125" style="2" customWidth="1"/>
    <col min="7" max="7" width="21" style="2" customWidth="1"/>
    <col min="8" max="8" width="10" style="2" customWidth="1"/>
    <col min="9" max="9" width="9.42578125" style="2" customWidth="1"/>
    <col min="10" max="10" width="6.7109375" style="2" bestFit="1" customWidth="1"/>
    <col min="11" max="11" width="6.28515625" style="2" customWidth="1"/>
    <col min="12" max="12" width="7.28515625" style="2" customWidth="1"/>
    <col min="13" max="13" width="5.42578125" style="2" customWidth="1"/>
    <col min="14" max="14" width="16.5703125" style="50" customWidth="1"/>
    <col min="15" max="15" width="5.5703125" style="2" customWidth="1"/>
    <col min="16" max="16" width="8" style="2" customWidth="1"/>
    <col min="17" max="17" width="5.42578125" style="2" customWidth="1"/>
    <col min="18" max="18" width="7.85546875" style="2" customWidth="1"/>
    <col min="19" max="19" width="16.28515625" style="50" customWidth="1"/>
    <col min="20" max="20" width="5.5703125" style="2" customWidth="1"/>
    <col min="21" max="21" width="6.28515625" style="2" customWidth="1"/>
    <col min="22" max="22" width="6.140625" style="2" customWidth="1"/>
    <col min="23" max="23" width="5.5703125" style="2" customWidth="1"/>
    <col min="24" max="24" width="16.5703125" style="50" customWidth="1"/>
    <col min="25" max="25" width="14.28515625" style="2" customWidth="1"/>
    <col min="26" max="26" width="14.7109375" style="2" customWidth="1"/>
    <col min="27" max="27" width="18.85546875" style="2" customWidth="1"/>
    <col min="28" max="28" width="17.42578125" style="2" customWidth="1"/>
    <col min="29" max="29" width="13.5703125" style="1" customWidth="1"/>
    <col min="30" max="30" width="15.42578125" style="1" bestFit="1" customWidth="1"/>
    <col min="31" max="31" width="11.85546875" style="1" bestFit="1" customWidth="1"/>
    <col min="32" max="32" width="18.140625" style="1" bestFit="1" customWidth="1"/>
    <col min="33" max="33" width="14.42578125" style="1" customWidth="1"/>
    <col min="34" max="34" width="12.85546875" style="1" bestFit="1" customWidth="1"/>
    <col min="35" max="35" width="18.140625" style="1" bestFit="1" customWidth="1"/>
    <col min="36" max="38" width="11.42578125" style="1"/>
    <col min="39" max="39" width="20.5703125" style="1" customWidth="1"/>
    <col min="40" max="45" width="11.42578125" style="1"/>
    <col min="46" max="16384" width="11.42578125" style="2"/>
  </cols>
  <sheetData>
    <row r="4" spans="1:45" ht="52.5" customHeight="1" x14ac:dyDescent="0.2">
      <c r="B4" s="86" t="s">
        <v>87</v>
      </c>
      <c r="C4" s="86"/>
      <c r="D4" s="86"/>
      <c r="E4" s="86"/>
      <c r="F4" s="86"/>
      <c r="G4" s="86"/>
      <c r="H4" s="86"/>
      <c r="I4" s="86"/>
      <c r="J4" s="86"/>
      <c r="K4" s="86"/>
      <c r="L4" s="86"/>
      <c r="M4" s="86"/>
      <c r="N4" s="86"/>
      <c r="O4" s="86"/>
      <c r="P4" s="86"/>
      <c r="Q4" s="86"/>
      <c r="R4" s="86"/>
      <c r="S4" s="86"/>
      <c r="T4" s="86"/>
      <c r="U4" s="86"/>
      <c r="V4" s="86"/>
      <c r="W4" s="86"/>
      <c r="X4" s="86"/>
      <c r="Y4" s="86"/>
      <c r="Z4" s="86"/>
      <c r="AA4" s="86"/>
      <c r="AB4" s="86"/>
    </row>
    <row r="5" spans="1:45" ht="26.25" customHeight="1" x14ac:dyDescent="0.2">
      <c r="B5" s="87" t="s">
        <v>76</v>
      </c>
      <c r="C5" s="88"/>
      <c r="D5" s="88"/>
      <c r="E5" s="88"/>
      <c r="F5" s="88"/>
      <c r="G5" s="88"/>
      <c r="H5" s="88"/>
      <c r="I5" s="88"/>
      <c r="J5" s="88"/>
      <c r="K5" s="88"/>
      <c r="L5" s="88"/>
      <c r="M5" s="88"/>
      <c r="N5" s="88"/>
      <c r="O5" s="88"/>
      <c r="P5" s="88"/>
      <c r="Q5" s="88"/>
      <c r="R5" s="88"/>
      <c r="S5" s="88"/>
      <c r="T5" s="88"/>
      <c r="U5" s="88"/>
      <c r="V5" s="88"/>
      <c r="W5" s="88"/>
      <c r="X5" s="88"/>
      <c r="Y5" s="88"/>
      <c r="Z5" s="88"/>
      <c r="AA5" s="88"/>
      <c r="AB5" s="89"/>
    </row>
    <row r="6" spans="1:45" ht="26.45" customHeight="1" x14ac:dyDescent="0.2">
      <c r="B6" s="87" t="s">
        <v>68</v>
      </c>
      <c r="C6" s="88"/>
      <c r="D6" s="88"/>
      <c r="E6" s="88"/>
      <c r="F6" s="88"/>
      <c r="G6" s="88"/>
      <c r="H6" s="88"/>
      <c r="I6" s="88"/>
      <c r="J6" s="88"/>
      <c r="K6" s="88"/>
      <c r="L6" s="88"/>
      <c r="M6" s="88"/>
      <c r="N6" s="88"/>
      <c r="O6" s="88"/>
      <c r="P6" s="88"/>
      <c r="Q6" s="88"/>
      <c r="R6" s="88"/>
      <c r="S6" s="88"/>
      <c r="T6" s="88"/>
      <c r="U6" s="88"/>
      <c r="V6" s="88"/>
      <c r="W6" s="88"/>
      <c r="X6" s="88"/>
      <c r="Y6" s="88"/>
      <c r="Z6" s="88"/>
      <c r="AA6" s="88"/>
      <c r="AB6" s="89"/>
    </row>
    <row r="7" spans="1:45" s="4" customFormat="1" ht="19.5" hidden="1" customHeight="1" x14ac:dyDescent="0.2">
      <c r="A7" s="3"/>
      <c r="B7" s="82" t="s">
        <v>44</v>
      </c>
      <c r="C7" s="82"/>
      <c r="D7" s="82"/>
      <c r="E7" s="90" t="s">
        <v>0</v>
      </c>
      <c r="F7" s="90"/>
      <c r="G7" s="90"/>
      <c r="H7" s="90"/>
      <c r="I7" s="90"/>
      <c r="J7" s="90"/>
      <c r="K7" s="90"/>
      <c r="L7" s="90"/>
      <c r="M7" s="90"/>
      <c r="N7" s="90"/>
      <c r="O7" s="90"/>
      <c r="P7" s="90"/>
      <c r="Q7" s="90"/>
      <c r="R7" s="90"/>
      <c r="S7" s="90"/>
      <c r="T7" s="90"/>
      <c r="U7" s="90"/>
      <c r="V7" s="90"/>
      <c r="W7" s="90"/>
      <c r="X7" s="90"/>
      <c r="Y7" s="90"/>
      <c r="Z7" s="90"/>
      <c r="AA7" s="90"/>
      <c r="AB7" s="90"/>
      <c r="AC7" s="3"/>
      <c r="AD7" s="3"/>
      <c r="AE7" s="3"/>
      <c r="AF7" s="3"/>
      <c r="AG7" s="3"/>
      <c r="AH7" s="3"/>
      <c r="AI7" s="3"/>
      <c r="AJ7" s="3"/>
      <c r="AK7" s="3"/>
      <c r="AL7" s="3"/>
      <c r="AM7" s="3"/>
      <c r="AN7" s="3"/>
      <c r="AO7" s="3"/>
      <c r="AP7" s="3"/>
      <c r="AQ7" s="3"/>
      <c r="AR7" s="3"/>
      <c r="AS7" s="3"/>
    </row>
    <row r="8" spans="1:45" s="4" customFormat="1" ht="19.5" hidden="1" customHeight="1" x14ac:dyDescent="0.2">
      <c r="A8" s="3"/>
      <c r="B8" s="82" t="s">
        <v>45</v>
      </c>
      <c r="C8" s="82"/>
      <c r="D8" s="82"/>
      <c r="E8" s="83" t="s">
        <v>1</v>
      </c>
      <c r="F8" s="84"/>
      <c r="G8" s="84"/>
      <c r="H8" s="84"/>
      <c r="I8" s="84"/>
      <c r="J8" s="84"/>
      <c r="K8" s="84"/>
      <c r="L8" s="84"/>
      <c r="M8" s="84"/>
      <c r="N8" s="84"/>
      <c r="O8" s="84"/>
      <c r="P8" s="84"/>
      <c r="Q8" s="84"/>
      <c r="R8" s="84"/>
      <c r="S8" s="84"/>
      <c r="T8" s="84"/>
      <c r="U8" s="84"/>
      <c r="V8" s="84"/>
      <c r="W8" s="84"/>
      <c r="X8" s="84"/>
      <c r="Y8" s="84"/>
      <c r="Z8" s="84"/>
      <c r="AA8" s="84"/>
      <c r="AB8" s="85"/>
      <c r="AC8" s="3"/>
      <c r="AD8" s="3"/>
      <c r="AE8" s="3"/>
      <c r="AF8" s="3"/>
      <c r="AG8" s="3"/>
      <c r="AH8" s="3"/>
      <c r="AI8" s="3"/>
      <c r="AJ8" s="3"/>
      <c r="AK8" s="3"/>
      <c r="AL8" s="3"/>
      <c r="AM8" s="3"/>
      <c r="AN8" s="3"/>
      <c r="AO8" s="3"/>
      <c r="AP8" s="3"/>
      <c r="AQ8" s="3"/>
      <c r="AR8" s="3"/>
      <c r="AS8" s="3"/>
    </row>
    <row r="9" spans="1:45" s="3" customFormat="1" ht="32.25" hidden="1" customHeight="1" x14ac:dyDescent="0.2">
      <c r="B9" s="96" t="s">
        <v>46</v>
      </c>
      <c r="C9" s="96"/>
      <c r="D9" s="96"/>
      <c r="E9" s="97" t="s">
        <v>27</v>
      </c>
      <c r="F9" s="97"/>
      <c r="G9" s="97"/>
      <c r="H9" s="97"/>
      <c r="I9" s="97"/>
      <c r="J9" s="97"/>
      <c r="K9" s="97"/>
      <c r="L9" s="97"/>
      <c r="M9" s="97"/>
      <c r="N9" s="97"/>
      <c r="O9" s="97"/>
      <c r="P9" s="97"/>
      <c r="Q9" s="97"/>
      <c r="R9" s="97"/>
      <c r="S9" s="97"/>
      <c r="T9" s="97"/>
      <c r="U9" s="97"/>
      <c r="V9" s="97"/>
      <c r="W9" s="97"/>
      <c r="X9" s="97"/>
      <c r="Y9" s="97"/>
      <c r="Z9" s="97"/>
      <c r="AA9" s="97"/>
      <c r="AB9" s="97"/>
    </row>
    <row r="10" spans="1:45" s="3" customFormat="1" ht="147" hidden="1" customHeight="1" x14ac:dyDescent="0.2">
      <c r="B10" s="82" t="s">
        <v>2</v>
      </c>
      <c r="C10" s="82"/>
      <c r="D10" s="82"/>
      <c r="E10" s="98" t="s">
        <v>51</v>
      </c>
      <c r="F10" s="98"/>
      <c r="G10" s="98"/>
      <c r="H10" s="98"/>
      <c r="I10" s="98"/>
      <c r="J10" s="98"/>
      <c r="K10" s="98"/>
      <c r="L10" s="98"/>
      <c r="M10" s="98"/>
      <c r="N10" s="98"/>
      <c r="O10" s="98"/>
      <c r="P10" s="98"/>
      <c r="Q10" s="98"/>
      <c r="R10" s="98"/>
      <c r="S10" s="98"/>
      <c r="T10" s="98"/>
      <c r="U10" s="98"/>
      <c r="V10" s="98"/>
      <c r="W10" s="98"/>
      <c r="X10" s="98"/>
      <c r="Y10" s="98"/>
      <c r="Z10" s="98"/>
      <c r="AA10" s="98"/>
      <c r="AB10" s="98"/>
    </row>
    <row r="11" spans="1:45" ht="29.25" hidden="1" customHeight="1" x14ac:dyDescent="0.2">
      <c r="B11" s="82" t="s">
        <v>28</v>
      </c>
      <c r="C11" s="82"/>
      <c r="D11" s="82"/>
      <c r="E11" s="90" t="s">
        <v>52</v>
      </c>
      <c r="F11" s="90"/>
      <c r="G11" s="90"/>
      <c r="H11" s="90"/>
      <c r="I11" s="90"/>
      <c r="J11" s="90"/>
      <c r="K11" s="90"/>
      <c r="L11" s="90"/>
      <c r="M11" s="90"/>
      <c r="N11" s="90"/>
      <c r="O11" s="90"/>
      <c r="P11" s="90"/>
      <c r="Q11" s="90"/>
      <c r="R11" s="90"/>
      <c r="S11" s="90"/>
      <c r="T11" s="90"/>
      <c r="U11" s="90"/>
      <c r="V11" s="90"/>
      <c r="W11" s="90"/>
      <c r="X11" s="90"/>
      <c r="Y11" s="90"/>
      <c r="Z11" s="90"/>
      <c r="AA11" s="90"/>
      <c r="AB11" s="90"/>
    </row>
    <row r="12" spans="1:45" ht="24" customHeight="1" x14ac:dyDescent="0.2">
      <c r="B12" s="91" t="s">
        <v>48</v>
      </c>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2"/>
      <c r="AC12" s="2"/>
      <c r="AD12" s="2"/>
      <c r="AE12" s="2"/>
      <c r="AF12" s="2"/>
      <c r="AG12" s="2"/>
      <c r="AH12" s="2"/>
      <c r="AI12" s="2"/>
      <c r="AJ12" s="2"/>
      <c r="AK12" s="2"/>
      <c r="AL12" s="2"/>
      <c r="AM12" s="2"/>
      <c r="AN12" s="2"/>
      <c r="AO12" s="2"/>
      <c r="AP12" s="2"/>
      <c r="AQ12" s="2"/>
      <c r="AR12" s="2"/>
      <c r="AS12" s="2"/>
    </row>
    <row r="13" spans="1:45" s="9" customFormat="1" ht="24" customHeight="1" x14ac:dyDescent="0.2">
      <c r="B13" s="139" t="s">
        <v>39</v>
      </c>
      <c r="C13" s="139"/>
      <c r="D13" s="139"/>
      <c r="E13" s="139"/>
      <c r="F13" s="99" t="s">
        <v>47</v>
      </c>
      <c r="G13" s="100"/>
      <c r="H13" s="100"/>
      <c r="I13" s="100"/>
      <c r="J13" s="100"/>
      <c r="K13" s="100"/>
      <c r="L13" s="100"/>
      <c r="M13" s="100"/>
      <c r="N13" s="100"/>
      <c r="O13" s="100"/>
      <c r="P13" s="100"/>
      <c r="Q13" s="100"/>
      <c r="R13" s="100"/>
      <c r="S13" s="100"/>
      <c r="T13" s="100"/>
      <c r="U13" s="100"/>
      <c r="V13" s="100"/>
      <c r="W13" s="100"/>
      <c r="X13" s="100"/>
      <c r="Y13" s="100"/>
      <c r="Z13" s="100"/>
      <c r="AA13" s="100"/>
      <c r="AB13" s="101"/>
    </row>
    <row r="14" spans="1:45" s="9" customFormat="1" ht="36.75" customHeight="1" x14ac:dyDescent="0.2">
      <c r="B14" s="139" t="s">
        <v>29</v>
      </c>
      <c r="C14" s="139"/>
      <c r="D14" s="139"/>
      <c r="E14" s="139"/>
      <c r="F14" s="83" t="s">
        <v>77</v>
      </c>
      <c r="G14" s="84"/>
      <c r="H14" s="84"/>
      <c r="I14" s="84"/>
      <c r="J14" s="84"/>
      <c r="K14" s="84"/>
      <c r="L14" s="84"/>
      <c r="M14" s="84"/>
      <c r="N14" s="84"/>
      <c r="O14" s="84"/>
      <c r="P14" s="84"/>
      <c r="Q14" s="84"/>
      <c r="R14" s="84"/>
      <c r="S14" s="84"/>
      <c r="T14" s="84"/>
      <c r="U14" s="84"/>
      <c r="V14" s="84"/>
      <c r="W14" s="84"/>
      <c r="X14" s="84"/>
      <c r="Y14" s="84"/>
      <c r="Z14" s="84"/>
      <c r="AA14" s="84"/>
      <c r="AB14" s="84"/>
      <c r="AC14" s="67"/>
    </row>
    <row r="15" spans="1:45" s="9" customFormat="1" ht="23.25" customHeight="1" x14ac:dyDescent="0.2">
      <c r="B15" s="93" t="s">
        <v>49</v>
      </c>
      <c r="C15" s="94"/>
      <c r="D15" s="94"/>
      <c r="E15" s="95"/>
      <c r="F15" s="102" t="s">
        <v>50</v>
      </c>
      <c r="G15" s="103"/>
      <c r="H15" s="103"/>
      <c r="I15" s="103"/>
      <c r="J15" s="103"/>
      <c r="K15" s="103"/>
      <c r="L15" s="103"/>
      <c r="M15" s="103"/>
      <c r="N15" s="103"/>
      <c r="O15" s="103"/>
      <c r="P15" s="103"/>
      <c r="Q15" s="103"/>
      <c r="R15" s="103"/>
      <c r="S15" s="103"/>
      <c r="T15" s="103"/>
      <c r="U15" s="103"/>
      <c r="V15" s="103"/>
      <c r="W15" s="103"/>
      <c r="X15" s="103"/>
      <c r="Y15" s="103"/>
      <c r="Z15" s="103"/>
      <c r="AA15" s="103"/>
      <c r="AB15" s="104"/>
    </row>
    <row r="16" spans="1:45" s="9" customFormat="1" ht="21" customHeight="1" x14ac:dyDescent="0.2">
      <c r="B16" s="118" t="s">
        <v>42</v>
      </c>
      <c r="C16" s="118"/>
      <c r="D16" s="118"/>
      <c r="E16" s="118"/>
      <c r="F16" s="118"/>
      <c r="G16" s="118"/>
      <c r="H16" s="118"/>
      <c r="I16" s="118"/>
      <c r="J16" s="118"/>
      <c r="K16" s="118"/>
      <c r="L16" s="118"/>
      <c r="M16" s="118"/>
      <c r="N16" s="118"/>
      <c r="O16" s="118"/>
      <c r="P16" s="118"/>
      <c r="Q16" s="118"/>
      <c r="R16" s="118"/>
      <c r="S16" s="118"/>
      <c r="T16" s="118"/>
      <c r="U16" s="118"/>
      <c r="V16" s="118"/>
      <c r="W16" s="118"/>
      <c r="X16" s="118"/>
      <c r="Y16" s="118"/>
      <c r="Z16" s="118"/>
      <c r="AA16" s="118"/>
      <c r="AB16" s="24"/>
    </row>
    <row r="17" spans="2:46" s="9" customFormat="1" ht="36" customHeight="1" x14ac:dyDescent="0.2">
      <c r="B17" s="119" t="s">
        <v>40</v>
      </c>
      <c r="C17" s="119"/>
      <c r="D17" s="119"/>
      <c r="E17" s="119"/>
      <c r="F17" s="120" t="s">
        <v>70</v>
      </c>
      <c r="G17" s="121"/>
      <c r="H17" s="121"/>
      <c r="I17" s="121"/>
      <c r="J17" s="121"/>
      <c r="K17" s="121"/>
      <c r="L17" s="121"/>
      <c r="M17" s="121"/>
      <c r="N17" s="121"/>
      <c r="O17" s="121"/>
      <c r="P17" s="121"/>
      <c r="Q17" s="121"/>
      <c r="R17" s="121"/>
      <c r="S17" s="121"/>
      <c r="T17" s="121"/>
      <c r="U17" s="121"/>
      <c r="V17" s="121"/>
      <c r="W17" s="121"/>
      <c r="X17" s="121"/>
      <c r="Y17" s="121"/>
      <c r="Z17" s="121"/>
      <c r="AA17" s="121"/>
      <c r="AB17" s="122"/>
    </row>
    <row r="18" spans="2:46" s="9" customFormat="1" ht="17.25" customHeight="1" x14ac:dyDescent="0.2">
      <c r="B18" s="119" t="s">
        <v>41</v>
      </c>
      <c r="C18" s="119"/>
      <c r="D18" s="119"/>
      <c r="E18" s="119"/>
      <c r="F18" s="120" t="s">
        <v>43</v>
      </c>
      <c r="G18" s="121"/>
      <c r="H18" s="121"/>
      <c r="I18" s="121"/>
      <c r="J18" s="121"/>
      <c r="K18" s="121"/>
      <c r="L18" s="121"/>
      <c r="M18" s="121"/>
      <c r="N18" s="121"/>
      <c r="O18" s="121"/>
      <c r="P18" s="121"/>
      <c r="Q18" s="121"/>
      <c r="R18" s="121"/>
      <c r="S18" s="121"/>
      <c r="T18" s="121"/>
      <c r="U18" s="121"/>
      <c r="V18" s="121"/>
      <c r="W18" s="121"/>
      <c r="X18" s="121"/>
      <c r="Y18" s="121"/>
      <c r="Z18" s="121"/>
      <c r="AA18" s="121"/>
      <c r="AB18" s="122"/>
    </row>
    <row r="19" spans="2:46" ht="19.149999999999999" customHeight="1" x14ac:dyDescent="0.2">
      <c r="B19" s="105"/>
      <c r="C19" s="108" t="s">
        <v>30</v>
      </c>
      <c r="D19" s="109"/>
      <c r="E19" s="110"/>
      <c r="F19" s="114" t="s">
        <v>31</v>
      </c>
      <c r="G19" s="116" t="s">
        <v>4</v>
      </c>
      <c r="H19" s="114" t="s">
        <v>3</v>
      </c>
      <c r="I19" s="130" t="s">
        <v>32</v>
      </c>
      <c r="J19" s="131" t="s">
        <v>85</v>
      </c>
      <c r="K19" s="131"/>
      <c r="L19" s="131"/>
      <c r="M19" s="131"/>
      <c r="N19" s="131"/>
      <c r="O19" s="131"/>
      <c r="P19" s="131"/>
      <c r="Q19" s="131"/>
      <c r="R19" s="131"/>
      <c r="S19" s="131"/>
      <c r="T19" s="131"/>
      <c r="U19" s="131"/>
      <c r="V19" s="131"/>
      <c r="W19" s="131"/>
      <c r="X19" s="131"/>
      <c r="Y19" s="131"/>
      <c r="Z19" s="131"/>
      <c r="AA19" s="131"/>
      <c r="AB19" s="28"/>
    </row>
    <row r="20" spans="2:46" ht="27" customHeight="1" x14ac:dyDescent="0.2">
      <c r="B20" s="106"/>
      <c r="C20" s="108"/>
      <c r="D20" s="109"/>
      <c r="E20" s="110"/>
      <c r="F20" s="115"/>
      <c r="G20" s="116"/>
      <c r="H20" s="115"/>
      <c r="I20" s="130"/>
      <c r="J20" s="132"/>
      <c r="K20" s="132"/>
      <c r="L20" s="132"/>
      <c r="M20" s="132"/>
      <c r="N20" s="51"/>
      <c r="O20" s="132"/>
      <c r="P20" s="132"/>
      <c r="Q20" s="132"/>
      <c r="R20" s="132"/>
      <c r="S20" s="51"/>
      <c r="T20" s="132"/>
      <c r="U20" s="132"/>
      <c r="V20" s="132"/>
      <c r="W20" s="132"/>
      <c r="X20" s="51"/>
      <c r="Y20" s="133" t="s">
        <v>5</v>
      </c>
      <c r="Z20" s="133"/>
      <c r="AA20" s="27"/>
      <c r="AB20" s="27"/>
      <c r="AC20" s="1">
        <v>31500000</v>
      </c>
      <c r="AD20" s="1">
        <f>+AC20/3</f>
        <v>10500000</v>
      </c>
    </row>
    <row r="21" spans="2:46" ht="62.45" customHeight="1" x14ac:dyDescent="0.2">
      <c r="B21" s="107"/>
      <c r="C21" s="111"/>
      <c r="D21" s="112"/>
      <c r="E21" s="113"/>
      <c r="F21" s="115"/>
      <c r="G21" s="117"/>
      <c r="H21" s="115"/>
      <c r="I21" s="114"/>
      <c r="J21" s="6" t="s">
        <v>6</v>
      </c>
      <c r="K21" s="6" t="s">
        <v>7</v>
      </c>
      <c r="L21" s="6" t="s">
        <v>8</v>
      </c>
      <c r="M21" s="6" t="s">
        <v>9</v>
      </c>
      <c r="N21" s="52" t="s">
        <v>38</v>
      </c>
      <c r="O21" s="7" t="s">
        <v>10</v>
      </c>
      <c r="P21" s="7" t="s">
        <v>11</v>
      </c>
      <c r="Q21" s="7" t="s">
        <v>12</v>
      </c>
      <c r="R21" s="7" t="s">
        <v>13</v>
      </c>
      <c r="S21" s="52" t="s">
        <v>36</v>
      </c>
      <c r="T21" s="7" t="s">
        <v>14</v>
      </c>
      <c r="U21" s="7" t="s">
        <v>15</v>
      </c>
      <c r="V21" s="7" t="s">
        <v>16</v>
      </c>
      <c r="W21" s="7" t="s">
        <v>17</v>
      </c>
      <c r="X21" s="52" t="s">
        <v>37</v>
      </c>
      <c r="Y21" s="23" t="s">
        <v>33</v>
      </c>
      <c r="Z21" s="23" t="s">
        <v>34</v>
      </c>
      <c r="AA21" s="23" t="s">
        <v>86</v>
      </c>
      <c r="AB21" s="22" t="s">
        <v>35</v>
      </c>
      <c r="AM21" s="8"/>
    </row>
    <row r="22" spans="2:46" ht="106.9" customHeight="1" x14ac:dyDescent="0.2">
      <c r="B22" s="5"/>
      <c r="C22" s="128" t="s">
        <v>20</v>
      </c>
      <c r="D22" s="129"/>
      <c r="E22" s="129"/>
      <c r="F22" s="16"/>
      <c r="G22" s="11"/>
      <c r="H22" s="10" t="s">
        <v>18</v>
      </c>
      <c r="I22" s="18">
        <v>90888</v>
      </c>
      <c r="J22" s="18">
        <v>7574</v>
      </c>
      <c r="K22" s="18">
        <v>7574</v>
      </c>
      <c r="L22" s="18">
        <v>7574</v>
      </c>
      <c r="M22" s="18">
        <v>7574</v>
      </c>
      <c r="N22" s="53">
        <f>SUM(J22:M22)</f>
        <v>30296</v>
      </c>
      <c r="O22" s="18">
        <v>7574</v>
      </c>
      <c r="P22" s="18">
        <v>7574</v>
      </c>
      <c r="Q22" s="18">
        <v>7574</v>
      </c>
      <c r="R22" s="18">
        <v>7574</v>
      </c>
      <c r="S22" s="53">
        <f>SUM(O22:R22)</f>
        <v>30296</v>
      </c>
      <c r="T22" s="18">
        <v>7574</v>
      </c>
      <c r="U22" s="18">
        <v>7574</v>
      </c>
      <c r="V22" s="18">
        <v>7574</v>
      </c>
      <c r="W22" s="18">
        <v>7574</v>
      </c>
      <c r="X22" s="53">
        <f>SUM(T22:W22)</f>
        <v>30296</v>
      </c>
      <c r="Y22" s="15">
        <f>SUM(N22+S22+X22)</f>
        <v>90888</v>
      </c>
      <c r="Z22" s="26">
        <f t="shared" ref="Z22:Z25" si="0">SUM(Y22/I22)</f>
        <v>1</v>
      </c>
      <c r="AA22" s="13">
        <v>31500000</v>
      </c>
      <c r="AB22" s="126" t="s">
        <v>82</v>
      </c>
      <c r="AC22" s="8">
        <v>6557</v>
      </c>
      <c r="AD22" s="31">
        <v>8149</v>
      </c>
      <c r="AE22" s="31">
        <f>AD22+AC22</f>
        <v>14706</v>
      </c>
      <c r="AF22" s="29">
        <f>AE22/2</f>
        <v>7353</v>
      </c>
      <c r="AG22" s="31">
        <f>AF22*0.03</f>
        <v>220.59</v>
      </c>
      <c r="AH22" s="33">
        <f>AG22+AF22</f>
        <v>7573.59</v>
      </c>
      <c r="AI22" s="34"/>
    </row>
    <row r="23" spans="2:46" ht="81" customHeight="1" x14ac:dyDescent="0.2">
      <c r="B23" s="5"/>
      <c r="C23" s="123"/>
      <c r="D23" s="124"/>
      <c r="E23" s="125"/>
      <c r="F23" s="16" t="s">
        <v>21</v>
      </c>
      <c r="G23" s="11"/>
      <c r="H23" s="12" t="s">
        <v>18</v>
      </c>
      <c r="I23" s="18">
        <v>90888</v>
      </c>
      <c r="J23" s="15">
        <v>7574</v>
      </c>
      <c r="K23" s="15">
        <v>7574</v>
      </c>
      <c r="L23" s="15">
        <v>7574</v>
      </c>
      <c r="M23" s="15">
        <v>7574</v>
      </c>
      <c r="N23" s="53">
        <f>SUM(J23:M23)</f>
        <v>30296</v>
      </c>
      <c r="O23" s="15">
        <v>7574</v>
      </c>
      <c r="P23" s="15">
        <v>7574</v>
      </c>
      <c r="Q23" s="15">
        <v>7574</v>
      </c>
      <c r="R23" s="15">
        <v>7574</v>
      </c>
      <c r="S23" s="53">
        <f>SUM(O23:R23)</f>
        <v>30296</v>
      </c>
      <c r="T23" s="15">
        <v>7574</v>
      </c>
      <c r="U23" s="15">
        <v>7574</v>
      </c>
      <c r="V23" s="15">
        <v>7574</v>
      </c>
      <c r="W23" s="15">
        <v>7574</v>
      </c>
      <c r="X23" s="53">
        <f>SUM(T23:W23)</f>
        <v>30296</v>
      </c>
      <c r="Y23" s="15">
        <f>SUM(N23+S23+X23)</f>
        <v>90888</v>
      </c>
      <c r="Z23" s="26">
        <f t="shared" si="0"/>
        <v>1</v>
      </c>
      <c r="AA23" s="13">
        <f>+AA22</f>
        <v>31500000</v>
      </c>
      <c r="AB23" s="127"/>
      <c r="AC23" s="8" t="s">
        <v>78</v>
      </c>
      <c r="AD23" s="31" t="s">
        <v>79</v>
      </c>
      <c r="AE23" s="1" t="s">
        <v>80</v>
      </c>
      <c r="AF23" s="29" t="s">
        <v>81</v>
      </c>
      <c r="AG23" s="31"/>
      <c r="AH23" s="31"/>
    </row>
    <row r="24" spans="2:46" ht="24" customHeight="1" x14ac:dyDescent="0.2">
      <c r="B24" s="5"/>
      <c r="C24" s="123"/>
      <c r="D24" s="124"/>
      <c r="E24" s="125"/>
      <c r="F24" s="21"/>
      <c r="G24" s="17" t="s">
        <v>22</v>
      </c>
      <c r="H24" s="12" t="s">
        <v>18</v>
      </c>
      <c r="I24" s="18">
        <f>J24+K24+L24+M24+O24+P24+Q24+R24+T24+U24+V24+W24</f>
        <v>9216</v>
      </c>
      <c r="J24" s="15">
        <v>768</v>
      </c>
      <c r="K24" s="15">
        <v>768</v>
      </c>
      <c r="L24" s="15">
        <v>768</v>
      </c>
      <c r="M24" s="15">
        <v>768</v>
      </c>
      <c r="N24" s="53">
        <v>3072</v>
      </c>
      <c r="O24" s="15">
        <v>768</v>
      </c>
      <c r="P24" s="15">
        <v>768</v>
      </c>
      <c r="Q24" s="15">
        <v>768</v>
      </c>
      <c r="R24" s="15">
        <v>768</v>
      </c>
      <c r="S24" s="53">
        <v>3072</v>
      </c>
      <c r="T24" s="15">
        <v>768</v>
      </c>
      <c r="U24" s="15">
        <v>768</v>
      </c>
      <c r="V24" s="15">
        <v>768</v>
      </c>
      <c r="W24" s="15">
        <v>768</v>
      </c>
      <c r="X24" s="53">
        <v>3072</v>
      </c>
      <c r="Y24" s="15">
        <f>X24+S24+N24</f>
        <v>9216</v>
      </c>
      <c r="Z24" s="26">
        <f>SUM(Y24/I24)</f>
        <v>1</v>
      </c>
      <c r="AA24" s="13"/>
      <c r="AB24" s="14"/>
      <c r="AC24" s="30">
        <f>737+754</f>
        <v>1491</v>
      </c>
      <c r="AD24" s="35">
        <f>AC24/2</f>
        <v>745.5</v>
      </c>
      <c r="AE24" s="30">
        <f>+AD24*0.03</f>
        <v>22.364999999999998</v>
      </c>
      <c r="AF24" s="63">
        <f>AD24+AE24</f>
        <v>767.86500000000001</v>
      </c>
      <c r="AG24" s="32"/>
      <c r="AH24" s="3"/>
      <c r="AI24" s="3"/>
      <c r="AJ24" s="3"/>
      <c r="AK24" s="3"/>
    </row>
    <row r="25" spans="2:46" ht="24" customHeight="1" x14ac:dyDescent="0.2">
      <c r="B25" s="5"/>
      <c r="C25" s="123"/>
      <c r="D25" s="124"/>
      <c r="E25" s="125"/>
      <c r="F25" s="21"/>
      <c r="G25" s="17" t="s">
        <v>23</v>
      </c>
      <c r="H25" s="12" t="s">
        <v>18</v>
      </c>
      <c r="I25" s="18">
        <f>J25+K25+L25+M25+O25+P25+Q25+R25+T25+U25+V25+W25</f>
        <v>28488</v>
      </c>
      <c r="J25" s="15">
        <v>2374</v>
      </c>
      <c r="K25" s="15">
        <v>2374</v>
      </c>
      <c r="L25" s="15">
        <v>2374</v>
      </c>
      <c r="M25" s="15">
        <v>2374</v>
      </c>
      <c r="N25" s="53">
        <v>9496</v>
      </c>
      <c r="O25" s="15">
        <v>2374</v>
      </c>
      <c r="P25" s="15">
        <v>2374</v>
      </c>
      <c r="Q25" s="15">
        <v>2374</v>
      </c>
      <c r="R25" s="15">
        <v>2374</v>
      </c>
      <c r="S25" s="53">
        <v>9496</v>
      </c>
      <c r="T25" s="15">
        <v>2374</v>
      </c>
      <c r="U25" s="15">
        <v>2374</v>
      </c>
      <c r="V25" s="15">
        <v>2374</v>
      </c>
      <c r="W25" s="15">
        <v>2374</v>
      </c>
      <c r="X25" s="53">
        <v>9496</v>
      </c>
      <c r="Y25" s="15">
        <f t="shared" ref="Y25:Y26" si="1">X25+S25+N25</f>
        <v>28488</v>
      </c>
      <c r="Z25" s="26">
        <f t="shared" si="0"/>
        <v>1</v>
      </c>
      <c r="AA25" s="13"/>
      <c r="AB25" s="14"/>
      <c r="AC25" s="30">
        <f>2005+2604</f>
        <v>4609</v>
      </c>
      <c r="AD25" s="35">
        <f t="shared" ref="AD25:AD43" si="2">AC25/2</f>
        <v>2304.5</v>
      </c>
      <c r="AE25" s="30">
        <f t="shared" ref="AE25:AE43" si="3">+AD25*0.03</f>
        <v>69.134999999999991</v>
      </c>
      <c r="AF25" s="63">
        <f t="shared" ref="AF25:AF26" si="4">AD25+AE25</f>
        <v>2373.6350000000002</v>
      </c>
      <c r="AG25" s="3"/>
      <c r="AH25" s="3"/>
      <c r="AI25" s="3"/>
      <c r="AJ25" s="3"/>
      <c r="AK25" s="3"/>
    </row>
    <row r="26" spans="2:46" ht="24" customHeight="1" x14ac:dyDescent="0.2">
      <c r="B26" s="5"/>
      <c r="C26" s="123"/>
      <c r="D26" s="124"/>
      <c r="E26" s="125"/>
      <c r="F26" s="21"/>
      <c r="G26" s="17" t="s">
        <v>24</v>
      </c>
      <c r="H26" s="12" t="s">
        <v>18</v>
      </c>
      <c r="I26" s="18">
        <v>53184</v>
      </c>
      <c r="J26" s="15">
        <v>4432</v>
      </c>
      <c r="K26" s="15">
        <v>4432</v>
      </c>
      <c r="L26" s="15">
        <v>4432</v>
      </c>
      <c r="M26" s="15">
        <v>4432</v>
      </c>
      <c r="N26" s="53">
        <f t="shared" ref="N26:N30" si="5">SUM(J26:M26)</f>
        <v>17728</v>
      </c>
      <c r="O26" s="15">
        <v>4432</v>
      </c>
      <c r="P26" s="15">
        <v>4432</v>
      </c>
      <c r="Q26" s="15">
        <v>4432</v>
      </c>
      <c r="R26" s="15">
        <v>4432</v>
      </c>
      <c r="S26" s="53">
        <f t="shared" ref="S26:S30" si="6">SUM(O26:R26)</f>
        <v>17728</v>
      </c>
      <c r="T26" s="15">
        <v>4432</v>
      </c>
      <c r="U26" s="15">
        <v>4432</v>
      </c>
      <c r="V26" s="15">
        <v>4432</v>
      </c>
      <c r="W26" s="15">
        <v>4432</v>
      </c>
      <c r="X26" s="53">
        <f t="shared" ref="X26:X30" si="7">SUM(T26:W26)</f>
        <v>17728</v>
      </c>
      <c r="Y26" s="15">
        <f t="shared" si="1"/>
        <v>53184</v>
      </c>
      <c r="Z26" s="26">
        <f>SUM(Y26/I26)</f>
        <v>1</v>
      </c>
      <c r="AA26" s="13"/>
      <c r="AB26" s="14"/>
      <c r="AC26" s="30">
        <f>3815+4791</f>
        <v>8606</v>
      </c>
      <c r="AD26" s="35">
        <f t="shared" si="2"/>
        <v>4303</v>
      </c>
      <c r="AE26" s="30">
        <f t="shared" si="3"/>
        <v>129.09</v>
      </c>
      <c r="AF26" s="63">
        <f t="shared" si="4"/>
        <v>4432.09</v>
      </c>
      <c r="AG26" s="3"/>
      <c r="AH26" s="3"/>
      <c r="AI26" s="3"/>
      <c r="AJ26" s="3"/>
      <c r="AK26" s="3"/>
    </row>
    <row r="27" spans="2:46" ht="24" customHeight="1" x14ac:dyDescent="0.2">
      <c r="B27" s="5"/>
      <c r="C27" s="55"/>
      <c r="D27" s="56"/>
      <c r="E27" s="57"/>
      <c r="F27" s="21"/>
      <c r="G27" s="17"/>
      <c r="H27" s="12"/>
      <c r="I27" s="18"/>
      <c r="J27" s="15"/>
      <c r="K27" s="15"/>
      <c r="L27" s="15"/>
      <c r="M27" s="15"/>
      <c r="N27" s="53"/>
      <c r="O27" s="15"/>
      <c r="P27" s="15"/>
      <c r="Q27" s="15"/>
      <c r="R27" s="15"/>
      <c r="S27" s="53"/>
      <c r="T27" s="15"/>
      <c r="U27" s="15"/>
      <c r="V27" s="15"/>
      <c r="W27" s="15"/>
      <c r="X27" s="53"/>
      <c r="Y27" s="15"/>
      <c r="Z27" s="26"/>
      <c r="AA27" s="13"/>
      <c r="AB27" s="14"/>
      <c r="AC27" s="30"/>
      <c r="AD27" s="35"/>
      <c r="AE27" s="30"/>
      <c r="AF27" s="63"/>
      <c r="AG27" s="3"/>
      <c r="AH27" s="3"/>
      <c r="AI27" s="3"/>
      <c r="AJ27" s="3"/>
      <c r="AK27" s="3"/>
    </row>
    <row r="28" spans="2:46" ht="24" customHeight="1" x14ac:dyDescent="0.2">
      <c r="B28" s="5"/>
      <c r="C28" s="55"/>
      <c r="D28" s="56"/>
      <c r="E28" s="57"/>
      <c r="F28" s="21"/>
      <c r="G28" s="17"/>
      <c r="H28" s="12"/>
      <c r="I28" s="18"/>
      <c r="J28" s="15"/>
      <c r="K28" s="15"/>
      <c r="L28" s="15"/>
      <c r="M28" s="15"/>
      <c r="N28" s="53"/>
      <c r="O28" s="15"/>
      <c r="P28" s="15"/>
      <c r="Q28" s="15"/>
      <c r="R28" s="15"/>
      <c r="S28" s="53"/>
      <c r="T28" s="15"/>
      <c r="U28" s="15"/>
      <c r="V28" s="15"/>
      <c r="W28" s="15"/>
      <c r="X28" s="53"/>
      <c r="Y28" s="15"/>
      <c r="Z28" s="26"/>
      <c r="AA28" s="13"/>
      <c r="AB28" s="14"/>
      <c r="AC28" s="30"/>
      <c r="AD28" s="35"/>
      <c r="AE28" s="30"/>
      <c r="AF28" s="63"/>
      <c r="AG28" s="3"/>
      <c r="AH28" s="3"/>
      <c r="AI28" s="3"/>
      <c r="AJ28" s="3"/>
      <c r="AK28" s="3"/>
    </row>
    <row r="29" spans="2:46" ht="24" customHeight="1" x14ac:dyDescent="0.2">
      <c r="B29" s="5"/>
      <c r="C29" s="123"/>
      <c r="D29" s="124"/>
      <c r="E29" s="125"/>
      <c r="F29" s="21"/>
      <c r="G29" s="41" t="s">
        <v>54</v>
      </c>
      <c r="H29" s="12" t="s">
        <v>19</v>
      </c>
      <c r="I29" s="42">
        <v>6</v>
      </c>
      <c r="J29" s="42"/>
      <c r="K29" s="42">
        <v>1</v>
      </c>
      <c r="L29" s="42"/>
      <c r="M29" s="42">
        <v>1</v>
      </c>
      <c r="N29" s="53">
        <f>SUM(J29:M29)</f>
        <v>2</v>
      </c>
      <c r="O29" s="42"/>
      <c r="P29" s="42">
        <v>1</v>
      </c>
      <c r="Q29" s="42"/>
      <c r="R29" s="42">
        <v>1</v>
      </c>
      <c r="S29" s="53">
        <f t="shared" si="6"/>
        <v>2</v>
      </c>
      <c r="T29" s="42"/>
      <c r="U29" s="42">
        <v>1</v>
      </c>
      <c r="V29" s="42"/>
      <c r="W29" s="42">
        <v>1</v>
      </c>
      <c r="X29" s="53">
        <f t="shared" si="7"/>
        <v>2</v>
      </c>
      <c r="Y29" s="15">
        <f t="shared" ref="Y29:Y43" si="8">SUM(N29+S29+X29)</f>
        <v>6</v>
      </c>
      <c r="Z29" s="26">
        <f t="shared" ref="Z29:Z43" si="9">SUM(Y29/I29)</f>
        <v>1</v>
      </c>
      <c r="AA29" s="13"/>
      <c r="AB29" s="136" t="s">
        <v>83</v>
      </c>
      <c r="AC29" s="4">
        <f>0+1</f>
        <v>1</v>
      </c>
      <c r="AD29" s="64">
        <f t="shared" si="2"/>
        <v>0.5</v>
      </c>
      <c r="AE29" s="65">
        <f t="shared" si="3"/>
        <v>1.4999999999999999E-2</v>
      </c>
      <c r="AF29" s="66">
        <f t="shared" ref="AF29:AF43" si="10">AD29+AE29</f>
        <v>0.51500000000000001</v>
      </c>
      <c r="AG29" s="3"/>
      <c r="AH29" s="3"/>
      <c r="AI29" s="3"/>
      <c r="AJ29" s="3"/>
      <c r="AK29" s="3"/>
      <c r="AL29" s="3"/>
      <c r="AT29" s="1"/>
    </row>
    <row r="30" spans="2:46" ht="24" customHeight="1" x14ac:dyDescent="0.2">
      <c r="B30" s="5"/>
      <c r="C30" s="123"/>
      <c r="D30" s="124"/>
      <c r="E30" s="125"/>
      <c r="F30" s="21"/>
      <c r="G30" s="41" t="s">
        <v>25</v>
      </c>
      <c r="H30" s="12" t="s">
        <v>19</v>
      </c>
      <c r="I30" s="42">
        <v>6</v>
      </c>
      <c r="J30" s="42"/>
      <c r="K30" s="42">
        <v>1</v>
      </c>
      <c r="L30" s="42"/>
      <c r="M30" s="42">
        <v>1</v>
      </c>
      <c r="N30" s="53">
        <f t="shared" si="5"/>
        <v>2</v>
      </c>
      <c r="O30" s="42"/>
      <c r="P30" s="42">
        <v>1</v>
      </c>
      <c r="Q30" s="42"/>
      <c r="R30" s="42">
        <v>1</v>
      </c>
      <c r="S30" s="53">
        <f t="shared" si="6"/>
        <v>2</v>
      </c>
      <c r="T30" s="42"/>
      <c r="U30" s="42">
        <v>1</v>
      </c>
      <c r="V30" s="42"/>
      <c r="W30" s="42">
        <v>1</v>
      </c>
      <c r="X30" s="53">
        <f t="shared" si="7"/>
        <v>2</v>
      </c>
      <c r="Y30" s="15">
        <f t="shared" si="8"/>
        <v>6</v>
      </c>
      <c r="Z30" s="26">
        <f t="shared" si="9"/>
        <v>1</v>
      </c>
      <c r="AA30" s="13"/>
      <c r="AB30" s="137"/>
      <c r="AC30" s="4">
        <f>0+0</f>
        <v>0</v>
      </c>
      <c r="AD30" s="64">
        <f t="shared" si="2"/>
        <v>0</v>
      </c>
      <c r="AE30" s="65">
        <f t="shared" si="3"/>
        <v>0</v>
      </c>
      <c r="AF30" s="66">
        <f t="shared" si="10"/>
        <v>0</v>
      </c>
      <c r="AG30" s="3"/>
      <c r="AH30" s="3"/>
      <c r="AI30" s="3"/>
      <c r="AJ30" s="3"/>
      <c r="AK30" s="3"/>
      <c r="AL30" s="3"/>
      <c r="AT30" s="1"/>
    </row>
    <row r="31" spans="2:46" ht="24" customHeight="1" x14ac:dyDescent="0.2">
      <c r="B31" s="5"/>
      <c r="C31" s="123"/>
      <c r="D31" s="124"/>
      <c r="E31" s="125"/>
      <c r="F31" s="21"/>
      <c r="G31" s="41" t="s">
        <v>55</v>
      </c>
      <c r="H31" s="12" t="s">
        <v>19</v>
      </c>
      <c r="I31" s="42">
        <f>N31+S31+X31</f>
        <v>6564</v>
      </c>
      <c r="J31" s="42">
        <v>547</v>
      </c>
      <c r="K31" s="42">
        <v>547</v>
      </c>
      <c r="L31" s="42">
        <v>547</v>
      </c>
      <c r="M31" s="42">
        <v>547</v>
      </c>
      <c r="N31" s="53">
        <f>J31+K31+L31+M31</f>
        <v>2188</v>
      </c>
      <c r="O31" s="42">
        <v>547</v>
      </c>
      <c r="P31" s="42">
        <v>547</v>
      </c>
      <c r="Q31" s="42">
        <v>547</v>
      </c>
      <c r="R31" s="42">
        <v>547</v>
      </c>
      <c r="S31" s="53">
        <f>O31+P31+Q31+R31</f>
        <v>2188</v>
      </c>
      <c r="T31" s="42">
        <v>547</v>
      </c>
      <c r="U31" s="42">
        <v>547</v>
      </c>
      <c r="V31" s="42">
        <v>547</v>
      </c>
      <c r="W31" s="42">
        <v>547</v>
      </c>
      <c r="X31" s="53">
        <f>T31+U31+V31+W31</f>
        <v>2188</v>
      </c>
      <c r="Y31" s="15">
        <f t="shared" si="8"/>
        <v>6564</v>
      </c>
      <c r="Z31" s="26">
        <f t="shared" si="9"/>
        <v>1</v>
      </c>
      <c r="AA31" s="13"/>
      <c r="AB31" s="137"/>
      <c r="AC31" s="4">
        <f>516+546</f>
        <v>1062</v>
      </c>
      <c r="AD31" s="64">
        <f t="shared" si="2"/>
        <v>531</v>
      </c>
      <c r="AE31" s="65">
        <f t="shared" si="3"/>
        <v>15.93</v>
      </c>
      <c r="AF31" s="66">
        <f t="shared" si="10"/>
        <v>546.92999999999995</v>
      </c>
      <c r="AG31" s="3"/>
      <c r="AH31" s="3"/>
      <c r="AI31" s="3"/>
      <c r="AJ31" s="3"/>
      <c r="AK31" s="3"/>
      <c r="AL31" s="3"/>
      <c r="AT31" s="1"/>
    </row>
    <row r="32" spans="2:46" ht="24" customHeight="1" x14ac:dyDescent="0.2">
      <c r="B32" s="5"/>
      <c r="C32" s="123"/>
      <c r="D32" s="124"/>
      <c r="E32" s="125"/>
      <c r="F32" s="21"/>
      <c r="G32" s="41" t="s">
        <v>56</v>
      </c>
      <c r="H32" s="12" t="s">
        <v>19</v>
      </c>
      <c r="I32" s="42">
        <f t="shared" ref="I32:I43" si="11">N32+S32+X32</f>
        <v>3900</v>
      </c>
      <c r="J32" s="42">
        <v>325</v>
      </c>
      <c r="K32" s="42">
        <v>325</v>
      </c>
      <c r="L32" s="42">
        <v>325</v>
      </c>
      <c r="M32" s="42">
        <v>325</v>
      </c>
      <c r="N32" s="53">
        <f t="shared" ref="N32:N43" si="12">J32+K32+L32+M32</f>
        <v>1300</v>
      </c>
      <c r="O32" s="42">
        <v>325</v>
      </c>
      <c r="P32" s="42">
        <v>325</v>
      </c>
      <c r="Q32" s="42">
        <v>325</v>
      </c>
      <c r="R32" s="42">
        <v>325</v>
      </c>
      <c r="S32" s="53">
        <f t="shared" ref="S32:S43" si="13">O32+P32+Q32+R32</f>
        <v>1300</v>
      </c>
      <c r="T32" s="42">
        <v>325</v>
      </c>
      <c r="U32" s="42">
        <v>325</v>
      </c>
      <c r="V32" s="42">
        <v>325</v>
      </c>
      <c r="W32" s="42">
        <v>325</v>
      </c>
      <c r="X32" s="53">
        <f t="shared" ref="X32:X43" si="14">T32+U32+V32+W32</f>
        <v>1300</v>
      </c>
      <c r="Y32" s="15">
        <f t="shared" si="8"/>
        <v>3900</v>
      </c>
      <c r="Z32" s="26">
        <f t="shared" si="9"/>
        <v>1</v>
      </c>
      <c r="AA32" s="13"/>
      <c r="AB32" s="137"/>
      <c r="AC32" s="4">
        <f>334+297</f>
        <v>631</v>
      </c>
      <c r="AD32" s="64">
        <f t="shared" si="2"/>
        <v>315.5</v>
      </c>
      <c r="AE32" s="65">
        <f t="shared" si="3"/>
        <v>9.4649999999999999</v>
      </c>
      <c r="AF32" s="66">
        <f t="shared" si="10"/>
        <v>324.96499999999997</v>
      </c>
      <c r="AG32" s="3"/>
      <c r="AH32" s="3"/>
      <c r="AI32" s="3"/>
      <c r="AJ32" s="3"/>
      <c r="AK32" s="3"/>
      <c r="AL32" s="3"/>
      <c r="AT32" s="1"/>
    </row>
    <row r="33" spans="2:46" ht="24" customHeight="1" x14ac:dyDescent="0.2">
      <c r="B33" s="5"/>
      <c r="C33" s="123"/>
      <c r="D33" s="124"/>
      <c r="E33" s="125"/>
      <c r="F33" s="21"/>
      <c r="G33" s="41" t="s">
        <v>57</v>
      </c>
      <c r="H33" s="12" t="s">
        <v>19</v>
      </c>
      <c r="I33" s="42">
        <f t="shared" si="11"/>
        <v>9312</v>
      </c>
      <c r="J33" s="42">
        <v>776</v>
      </c>
      <c r="K33" s="42">
        <v>776</v>
      </c>
      <c r="L33" s="42">
        <v>776</v>
      </c>
      <c r="M33" s="42">
        <v>776</v>
      </c>
      <c r="N33" s="53">
        <f t="shared" si="12"/>
        <v>3104</v>
      </c>
      <c r="O33" s="42">
        <v>776</v>
      </c>
      <c r="P33" s="42">
        <v>776</v>
      </c>
      <c r="Q33" s="42">
        <v>776</v>
      </c>
      <c r="R33" s="42">
        <v>776</v>
      </c>
      <c r="S33" s="53">
        <f t="shared" si="13"/>
        <v>3104</v>
      </c>
      <c r="T33" s="42">
        <v>776</v>
      </c>
      <c r="U33" s="42">
        <v>776</v>
      </c>
      <c r="V33" s="42">
        <v>776</v>
      </c>
      <c r="W33" s="42">
        <v>776</v>
      </c>
      <c r="X33" s="53">
        <f t="shared" si="14"/>
        <v>3104</v>
      </c>
      <c r="Y33" s="15">
        <f t="shared" si="8"/>
        <v>9312</v>
      </c>
      <c r="Z33" s="26">
        <f t="shared" si="9"/>
        <v>1</v>
      </c>
      <c r="AA33" s="13"/>
      <c r="AB33" s="137"/>
      <c r="AC33" s="4">
        <f>723+784</f>
        <v>1507</v>
      </c>
      <c r="AD33" s="64">
        <f t="shared" si="2"/>
        <v>753.5</v>
      </c>
      <c r="AE33" s="65">
        <f t="shared" si="3"/>
        <v>22.605</v>
      </c>
      <c r="AF33" s="66">
        <f t="shared" si="10"/>
        <v>776.10500000000002</v>
      </c>
      <c r="AG33" s="3"/>
      <c r="AH33" s="3"/>
      <c r="AI33" s="3"/>
      <c r="AJ33" s="3"/>
      <c r="AK33" s="3"/>
      <c r="AL33" s="3"/>
      <c r="AT33" s="1"/>
    </row>
    <row r="34" spans="2:46" ht="24" customHeight="1" x14ac:dyDescent="0.2">
      <c r="B34" s="5"/>
      <c r="C34" s="123"/>
      <c r="D34" s="124"/>
      <c r="E34" s="125"/>
      <c r="F34" s="21"/>
      <c r="G34" s="41" t="s">
        <v>58</v>
      </c>
      <c r="H34" s="12" t="s">
        <v>19</v>
      </c>
      <c r="I34" s="42">
        <f t="shared" si="11"/>
        <v>16164</v>
      </c>
      <c r="J34" s="42">
        <v>1347</v>
      </c>
      <c r="K34" s="42">
        <v>1347</v>
      </c>
      <c r="L34" s="42">
        <v>1347</v>
      </c>
      <c r="M34" s="42">
        <v>1347</v>
      </c>
      <c r="N34" s="53">
        <f t="shared" si="12"/>
        <v>5388</v>
      </c>
      <c r="O34" s="42">
        <v>1347</v>
      </c>
      <c r="P34" s="42">
        <v>1347</v>
      </c>
      <c r="Q34" s="42">
        <v>1347</v>
      </c>
      <c r="R34" s="42">
        <v>1347</v>
      </c>
      <c r="S34" s="53">
        <f t="shared" si="13"/>
        <v>5388</v>
      </c>
      <c r="T34" s="42">
        <v>1347</v>
      </c>
      <c r="U34" s="42">
        <v>1347</v>
      </c>
      <c r="V34" s="42">
        <v>1347</v>
      </c>
      <c r="W34" s="42">
        <v>1347</v>
      </c>
      <c r="X34" s="53">
        <f t="shared" si="14"/>
        <v>5388</v>
      </c>
      <c r="Y34" s="15">
        <f t="shared" si="8"/>
        <v>16164</v>
      </c>
      <c r="Z34" s="26">
        <f t="shared" si="9"/>
        <v>1</v>
      </c>
      <c r="AA34" s="13"/>
      <c r="AB34" s="137"/>
      <c r="AC34" s="4">
        <f>1217+1398</f>
        <v>2615</v>
      </c>
      <c r="AD34" s="64">
        <f t="shared" si="2"/>
        <v>1307.5</v>
      </c>
      <c r="AE34" s="65">
        <f t="shared" si="3"/>
        <v>39.225000000000001</v>
      </c>
      <c r="AF34" s="66">
        <f t="shared" si="10"/>
        <v>1346.7249999999999</v>
      </c>
      <c r="AG34" s="3"/>
      <c r="AH34" s="3"/>
      <c r="AI34" s="3"/>
      <c r="AJ34" s="3"/>
      <c r="AK34" s="3"/>
      <c r="AL34" s="3"/>
      <c r="AT34" s="1"/>
    </row>
    <row r="35" spans="2:46" ht="24" customHeight="1" x14ac:dyDescent="0.2">
      <c r="B35" s="5"/>
      <c r="C35" s="123"/>
      <c r="D35" s="124"/>
      <c r="E35" s="125"/>
      <c r="F35" s="21"/>
      <c r="G35" s="41" t="s">
        <v>59</v>
      </c>
      <c r="H35" s="12" t="s">
        <v>19</v>
      </c>
      <c r="I35" s="42">
        <f t="shared" si="11"/>
        <v>36060</v>
      </c>
      <c r="J35" s="42">
        <v>3005</v>
      </c>
      <c r="K35" s="42">
        <v>3005</v>
      </c>
      <c r="L35" s="42">
        <v>3005</v>
      </c>
      <c r="M35" s="42">
        <v>3005</v>
      </c>
      <c r="N35" s="53">
        <f t="shared" si="12"/>
        <v>12020</v>
      </c>
      <c r="O35" s="42">
        <v>3005</v>
      </c>
      <c r="P35" s="42">
        <v>3005</v>
      </c>
      <c r="Q35" s="42">
        <v>3005</v>
      </c>
      <c r="R35" s="42">
        <v>3005</v>
      </c>
      <c r="S35" s="53">
        <f t="shared" si="13"/>
        <v>12020</v>
      </c>
      <c r="T35" s="42">
        <v>3005</v>
      </c>
      <c r="U35" s="42">
        <v>3005</v>
      </c>
      <c r="V35" s="42">
        <v>3005</v>
      </c>
      <c r="W35" s="42">
        <v>3005</v>
      </c>
      <c r="X35" s="53">
        <f t="shared" si="14"/>
        <v>12020</v>
      </c>
      <c r="Y35" s="15">
        <f t="shared" si="8"/>
        <v>36060</v>
      </c>
      <c r="Z35" s="26">
        <f t="shared" si="9"/>
        <v>1</v>
      </c>
      <c r="AA35" s="13"/>
      <c r="AB35" s="138"/>
      <c r="AC35" s="4">
        <f>2951+2884</f>
        <v>5835</v>
      </c>
      <c r="AD35" s="64">
        <f t="shared" si="2"/>
        <v>2917.5</v>
      </c>
      <c r="AE35" s="65">
        <f t="shared" si="3"/>
        <v>87.524999999999991</v>
      </c>
      <c r="AF35" s="66">
        <f t="shared" si="10"/>
        <v>3005.0250000000001</v>
      </c>
      <c r="AG35" s="3"/>
      <c r="AH35" s="3"/>
      <c r="AI35" s="3"/>
      <c r="AJ35" s="3"/>
      <c r="AK35" s="3"/>
      <c r="AL35" s="3"/>
      <c r="AT35" s="1"/>
    </row>
    <row r="36" spans="2:46" ht="24" customHeight="1" x14ac:dyDescent="0.2">
      <c r="B36" s="5"/>
      <c r="C36" s="123"/>
      <c r="D36" s="124"/>
      <c r="E36" s="125"/>
      <c r="F36" s="21"/>
      <c r="G36" s="41" t="s">
        <v>60</v>
      </c>
      <c r="H36" s="12" t="s">
        <v>19</v>
      </c>
      <c r="I36" s="42">
        <f t="shared" si="11"/>
        <v>6444</v>
      </c>
      <c r="J36" s="42">
        <v>537</v>
      </c>
      <c r="K36" s="42">
        <v>537</v>
      </c>
      <c r="L36" s="42">
        <v>537</v>
      </c>
      <c r="M36" s="42">
        <v>537</v>
      </c>
      <c r="N36" s="53">
        <f t="shared" si="12"/>
        <v>2148</v>
      </c>
      <c r="O36" s="42">
        <v>537</v>
      </c>
      <c r="P36" s="42">
        <v>537</v>
      </c>
      <c r="Q36" s="42">
        <v>537</v>
      </c>
      <c r="R36" s="42">
        <v>537</v>
      </c>
      <c r="S36" s="53">
        <f t="shared" si="13"/>
        <v>2148</v>
      </c>
      <c r="T36" s="42">
        <v>537</v>
      </c>
      <c r="U36" s="42">
        <v>537</v>
      </c>
      <c r="V36" s="42">
        <v>537</v>
      </c>
      <c r="W36" s="42">
        <v>537</v>
      </c>
      <c r="X36" s="53">
        <f t="shared" si="14"/>
        <v>2148</v>
      </c>
      <c r="Y36" s="15">
        <f t="shared" si="8"/>
        <v>6444</v>
      </c>
      <c r="Z36" s="26">
        <f t="shared" si="9"/>
        <v>1</v>
      </c>
      <c r="AA36" s="13"/>
      <c r="AB36" s="14"/>
      <c r="AC36" s="4">
        <f>526+517</f>
        <v>1043</v>
      </c>
      <c r="AD36" s="64">
        <f t="shared" si="2"/>
        <v>521.5</v>
      </c>
      <c r="AE36" s="65">
        <f t="shared" si="3"/>
        <v>15.645</v>
      </c>
      <c r="AF36" s="66">
        <f t="shared" si="10"/>
        <v>537.14499999999998</v>
      </c>
      <c r="AG36" s="3"/>
      <c r="AH36" s="3"/>
      <c r="AI36" s="3"/>
      <c r="AJ36" s="3"/>
      <c r="AK36" s="3"/>
      <c r="AL36" s="3"/>
      <c r="AT36" s="1"/>
    </row>
    <row r="37" spans="2:46" ht="24" customHeight="1" x14ac:dyDescent="0.2">
      <c r="B37" s="5"/>
      <c r="C37" s="123"/>
      <c r="D37" s="124"/>
      <c r="E37" s="125"/>
      <c r="F37" s="21"/>
      <c r="G37" s="41" t="s">
        <v>61</v>
      </c>
      <c r="H37" s="12" t="s">
        <v>19</v>
      </c>
      <c r="I37" s="42">
        <f t="shared" si="11"/>
        <v>3936</v>
      </c>
      <c r="J37" s="42">
        <v>328</v>
      </c>
      <c r="K37" s="42">
        <v>328</v>
      </c>
      <c r="L37" s="42">
        <v>328</v>
      </c>
      <c r="M37" s="42">
        <v>328</v>
      </c>
      <c r="N37" s="53">
        <f t="shared" si="12"/>
        <v>1312</v>
      </c>
      <c r="O37" s="42">
        <v>328</v>
      </c>
      <c r="P37" s="42">
        <v>328</v>
      </c>
      <c r="Q37" s="42">
        <v>328</v>
      </c>
      <c r="R37" s="42">
        <v>328</v>
      </c>
      <c r="S37" s="53">
        <f t="shared" si="13"/>
        <v>1312</v>
      </c>
      <c r="T37" s="42">
        <v>328</v>
      </c>
      <c r="U37" s="42">
        <v>328</v>
      </c>
      <c r="V37" s="42">
        <v>328</v>
      </c>
      <c r="W37" s="42">
        <v>328</v>
      </c>
      <c r="X37" s="53">
        <f t="shared" si="14"/>
        <v>1312</v>
      </c>
      <c r="Y37" s="15">
        <f t="shared" si="8"/>
        <v>3936</v>
      </c>
      <c r="Z37" s="26">
        <f t="shared" si="9"/>
        <v>1</v>
      </c>
      <c r="AA37" s="13"/>
      <c r="AB37" s="14"/>
      <c r="AC37" s="4">
        <f>210+427</f>
        <v>637</v>
      </c>
      <c r="AD37" s="64">
        <f t="shared" si="2"/>
        <v>318.5</v>
      </c>
      <c r="AE37" s="65">
        <f t="shared" si="3"/>
        <v>9.5549999999999997</v>
      </c>
      <c r="AF37" s="66">
        <f t="shared" si="10"/>
        <v>328.05500000000001</v>
      </c>
      <c r="AG37" s="3"/>
      <c r="AH37" s="3"/>
      <c r="AI37" s="3"/>
      <c r="AJ37" s="3"/>
      <c r="AK37" s="3"/>
      <c r="AL37" s="3"/>
      <c r="AT37" s="1"/>
    </row>
    <row r="38" spans="2:46" ht="24" customHeight="1" x14ac:dyDescent="0.2">
      <c r="B38" s="5"/>
      <c r="C38" s="123"/>
      <c r="D38" s="124"/>
      <c r="E38" s="125"/>
      <c r="F38" s="21"/>
      <c r="G38" s="41" t="s">
        <v>62</v>
      </c>
      <c r="H38" s="12" t="s">
        <v>19</v>
      </c>
      <c r="I38" s="42">
        <f t="shared" si="11"/>
        <v>24984</v>
      </c>
      <c r="J38" s="42">
        <v>2082</v>
      </c>
      <c r="K38" s="42">
        <v>2082</v>
      </c>
      <c r="L38" s="42">
        <v>2082</v>
      </c>
      <c r="M38" s="42">
        <v>2082</v>
      </c>
      <c r="N38" s="53">
        <f t="shared" si="12"/>
        <v>8328</v>
      </c>
      <c r="O38" s="42">
        <v>2082</v>
      </c>
      <c r="P38" s="42">
        <v>2082</v>
      </c>
      <c r="Q38" s="42">
        <v>2082</v>
      </c>
      <c r="R38" s="42">
        <v>2082</v>
      </c>
      <c r="S38" s="53">
        <f t="shared" si="13"/>
        <v>8328</v>
      </c>
      <c r="T38" s="42">
        <v>2082</v>
      </c>
      <c r="U38" s="42">
        <v>2082</v>
      </c>
      <c r="V38" s="42">
        <v>2082</v>
      </c>
      <c r="W38" s="42">
        <v>2082</v>
      </c>
      <c r="X38" s="53">
        <f t="shared" si="14"/>
        <v>8328</v>
      </c>
      <c r="Y38" s="15">
        <f t="shared" si="8"/>
        <v>24984</v>
      </c>
      <c r="Z38" s="26">
        <f t="shared" si="9"/>
        <v>1</v>
      </c>
      <c r="AA38" s="13"/>
      <c r="AB38" s="14"/>
      <c r="AC38" s="4">
        <f>2042+2000</f>
        <v>4042</v>
      </c>
      <c r="AD38" s="64">
        <f t="shared" si="2"/>
        <v>2021</v>
      </c>
      <c r="AE38" s="65">
        <f t="shared" si="3"/>
        <v>60.629999999999995</v>
      </c>
      <c r="AF38" s="66">
        <f t="shared" si="10"/>
        <v>2081.63</v>
      </c>
      <c r="AG38" s="3"/>
      <c r="AH38" s="3"/>
      <c r="AI38" s="3"/>
      <c r="AJ38" s="3"/>
      <c r="AK38" s="3"/>
      <c r="AL38" s="3"/>
      <c r="AT38" s="1"/>
    </row>
    <row r="39" spans="2:46" ht="24" customHeight="1" x14ac:dyDescent="0.2">
      <c r="B39" s="5"/>
      <c r="C39" s="123"/>
      <c r="D39" s="124"/>
      <c r="E39" s="125"/>
      <c r="F39" s="21"/>
      <c r="G39" s="41" t="s">
        <v>63</v>
      </c>
      <c r="H39" s="12" t="s">
        <v>19</v>
      </c>
      <c r="I39" s="42">
        <f t="shared" si="11"/>
        <v>1872</v>
      </c>
      <c r="J39" s="42">
        <v>156</v>
      </c>
      <c r="K39" s="42">
        <v>156</v>
      </c>
      <c r="L39" s="42">
        <v>156</v>
      </c>
      <c r="M39" s="42">
        <v>156</v>
      </c>
      <c r="N39" s="53">
        <f t="shared" si="12"/>
        <v>624</v>
      </c>
      <c r="O39" s="42">
        <v>156</v>
      </c>
      <c r="P39" s="42">
        <v>156</v>
      </c>
      <c r="Q39" s="42">
        <v>156</v>
      </c>
      <c r="R39" s="42">
        <v>156</v>
      </c>
      <c r="S39" s="53">
        <f t="shared" si="13"/>
        <v>624</v>
      </c>
      <c r="T39" s="42">
        <v>156</v>
      </c>
      <c r="U39" s="42">
        <v>156</v>
      </c>
      <c r="V39" s="42">
        <v>156</v>
      </c>
      <c r="W39" s="42">
        <v>156</v>
      </c>
      <c r="X39" s="53">
        <f t="shared" si="14"/>
        <v>624</v>
      </c>
      <c r="Y39" s="15">
        <f t="shared" si="8"/>
        <v>1872</v>
      </c>
      <c r="Z39" s="26">
        <f t="shared" si="9"/>
        <v>1</v>
      </c>
      <c r="AA39" s="13"/>
      <c r="AB39" s="14"/>
      <c r="AC39" s="4">
        <f>58+245</f>
        <v>303</v>
      </c>
      <c r="AD39" s="64">
        <f t="shared" si="2"/>
        <v>151.5</v>
      </c>
      <c r="AE39" s="65">
        <f t="shared" si="3"/>
        <v>4.5449999999999999</v>
      </c>
      <c r="AF39" s="66">
        <f t="shared" si="10"/>
        <v>156.04499999999999</v>
      </c>
      <c r="AG39" s="3"/>
      <c r="AH39" s="3"/>
      <c r="AI39" s="3"/>
      <c r="AJ39" s="3"/>
      <c r="AK39" s="3"/>
      <c r="AL39" s="3"/>
      <c r="AT39" s="1"/>
    </row>
    <row r="40" spans="2:46" ht="24" customHeight="1" x14ac:dyDescent="0.2">
      <c r="B40" s="5"/>
      <c r="C40" s="123"/>
      <c r="D40" s="124"/>
      <c r="E40" s="125"/>
      <c r="F40" s="21"/>
      <c r="G40" s="41" t="s">
        <v>26</v>
      </c>
      <c r="H40" s="12" t="s">
        <v>19</v>
      </c>
      <c r="I40" s="42">
        <f t="shared" si="11"/>
        <v>252</v>
      </c>
      <c r="J40" s="42">
        <v>21</v>
      </c>
      <c r="K40" s="42">
        <v>21</v>
      </c>
      <c r="L40" s="42">
        <v>21</v>
      </c>
      <c r="M40" s="42">
        <v>21</v>
      </c>
      <c r="N40" s="53">
        <f t="shared" si="12"/>
        <v>84</v>
      </c>
      <c r="O40" s="42">
        <v>21</v>
      </c>
      <c r="P40" s="42">
        <v>21</v>
      </c>
      <c r="Q40" s="42">
        <v>21</v>
      </c>
      <c r="R40" s="42">
        <v>21</v>
      </c>
      <c r="S40" s="53">
        <f t="shared" si="13"/>
        <v>84</v>
      </c>
      <c r="T40" s="42">
        <v>21</v>
      </c>
      <c r="U40" s="42">
        <v>21</v>
      </c>
      <c r="V40" s="42">
        <v>21</v>
      </c>
      <c r="W40" s="42">
        <v>21</v>
      </c>
      <c r="X40" s="53">
        <f t="shared" si="14"/>
        <v>84</v>
      </c>
      <c r="Y40" s="15">
        <f t="shared" si="8"/>
        <v>252</v>
      </c>
      <c r="Z40" s="26">
        <f t="shared" si="9"/>
        <v>1</v>
      </c>
      <c r="AA40" s="13"/>
      <c r="AB40" s="14"/>
      <c r="AC40" s="4">
        <f>15+25</f>
        <v>40</v>
      </c>
      <c r="AD40" s="64">
        <f t="shared" si="2"/>
        <v>20</v>
      </c>
      <c r="AE40" s="65">
        <f t="shared" si="3"/>
        <v>0.6</v>
      </c>
      <c r="AF40" s="66">
        <f t="shared" si="10"/>
        <v>20.6</v>
      </c>
      <c r="AG40" s="3"/>
      <c r="AH40" s="3"/>
      <c r="AI40" s="3"/>
      <c r="AJ40" s="3"/>
      <c r="AK40" s="3"/>
      <c r="AL40" s="3"/>
      <c r="AT40" s="1"/>
    </row>
    <row r="41" spans="2:46" ht="24" customHeight="1" x14ac:dyDescent="0.2">
      <c r="B41" s="5"/>
      <c r="C41" s="123"/>
      <c r="D41" s="124"/>
      <c r="E41" s="125"/>
      <c r="F41" s="21"/>
      <c r="G41" s="17" t="s">
        <v>64</v>
      </c>
      <c r="H41" s="12" t="s">
        <v>19</v>
      </c>
      <c r="I41" s="42">
        <f t="shared" si="11"/>
        <v>113760</v>
      </c>
      <c r="J41" s="42">
        <v>9480</v>
      </c>
      <c r="K41" s="42">
        <v>9480</v>
      </c>
      <c r="L41" s="42">
        <v>9480</v>
      </c>
      <c r="M41" s="42">
        <v>9480</v>
      </c>
      <c r="N41" s="53">
        <f t="shared" si="12"/>
        <v>37920</v>
      </c>
      <c r="O41" s="42">
        <v>9480</v>
      </c>
      <c r="P41" s="42">
        <v>9480</v>
      </c>
      <c r="Q41" s="42">
        <v>9480</v>
      </c>
      <c r="R41" s="42">
        <v>9480</v>
      </c>
      <c r="S41" s="53">
        <f t="shared" si="13"/>
        <v>37920</v>
      </c>
      <c r="T41" s="42">
        <v>9480</v>
      </c>
      <c r="U41" s="42">
        <v>9480</v>
      </c>
      <c r="V41" s="42">
        <v>9480</v>
      </c>
      <c r="W41" s="42">
        <v>9480</v>
      </c>
      <c r="X41" s="53">
        <f t="shared" si="14"/>
        <v>37920</v>
      </c>
      <c r="Y41" s="15">
        <f t="shared" si="8"/>
        <v>113760</v>
      </c>
      <c r="Z41" s="26">
        <f t="shared" si="9"/>
        <v>1</v>
      </c>
      <c r="AA41" s="13"/>
      <c r="AB41" s="14"/>
      <c r="AC41" s="4">
        <f>8697+9710</f>
        <v>18407</v>
      </c>
      <c r="AD41" s="64">
        <f t="shared" si="2"/>
        <v>9203.5</v>
      </c>
      <c r="AE41" s="65">
        <f t="shared" si="3"/>
        <v>276.10500000000002</v>
      </c>
      <c r="AF41" s="66">
        <f t="shared" si="10"/>
        <v>9479.6049999999996</v>
      </c>
      <c r="AG41" s="3"/>
      <c r="AH41" s="3"/>
      <c r="AI41" s="3"/>
      <c r="AJ41" s="3"/>
      <c r="AK41" s="3"/>
      <c r="AL41" s="3"/>
      <c r="AT41" s="1"/>
    </row>
    <row r="42" spans="2:46" ht="24" customHeight="1" x14ac:dyDescent="0.2">
      <c r="B42" s="5"/>
      <c r="C42" s="123"/>
      <c r="D42" s="124"/>
      <c r="E42" s="125"/>
      <c r="F42" s="21"/>
      <c r="G42" s="45" t="s">
        <v>65</v>
      </c>
      <c r="H42" s="12" t="s">
        <v>66</v>
      </c>
      <c r="I42" s="42">
        <f t="shared" si="11"/>
        <v>35592</v>
      </c>
      <c r="J42" s="42">
        <v>2966</v>
      </c>
      <c r="K42" s="42">
        <v>2966</v>
      </c>
      <c r="L42" s="42">
        <v>2966</v>
      </c>
      <c r="M42" s="42">
        <v>2966</v>
      </c>
      <c r="N42" s="53">
        <f t="shared" si="12"/>
        <v>11864</v>
      </c>
      <c r="O42" s="42">
        <v>2966</v>
      </c>
      <c r="P42" s="42">
        <v>2966</v>
      </c>
      <c r="Q42" s="42">
        <v>2966</v>
      </c>
      <c r="R42" s="42">
        <v>2966</v>
      </c>
      <c r="S42" s="53">
        <f t="shared" si="13"/>
        <v>11864</v>
      </c>
      <c r="T42" s="42">
        <v>2966</v>
      </c>
      <c r="U42" s="42">
        <v>2966</v>
      </c>
      <c r="V42" s="42">
        <v>2966</v>
      </c>
      <c r="W42" s="42">
        <v>2966</v>
      </c>
      <c r="X42" s="53">
        <f t="shared" si="14"/>
        <v>11864</v>
      </c>
      <c r="Y42" s="15">
        <f t="shared" si="8"/>
        <v>35592</v>
      </c>
      <c r="Z42" s="26">
        <f t="shared" si="9"/>
        <v>1</v>
      </c>
      <c r="AA42" s="13"/>
      <c r="AB42" s="14"/>
      <c r="AC42" s="4">
        <f>2729+3031</f>
        <v>5760</v>
      </c>
      <c r="AD42" s="64">
        <f t="shared" si="2"/>
        <v>2880</v>
      </c>
      <c r="AE42" s="65">
        <f t="shared" si="3"/>
        <v>86.399999999999991</v>
      </c>
      <c r="AF42" s="66">
        <f t="shared" si="10"/>
        <v>2966.4</v>
      </c>
      <c r="AG42" s="3"/>
      <c r="AH42" s="3"/>
      <c r="AI42" s="3"/>
      <c r="AJ42" s="3"/>
      <c r="AK42" s="3"/>
      <c r="AL42" s="3"/>
      <c r="AT42" s="1"/>
    </row>
    <row r="43" spans="2:46" ht="24" customHeight="1" x14ac:dyDescent="0.2">
      <c r="B43" s="5"/>
      <c r="C43" s="123"/>
      <c r="D43" s="124"/>
      <c r="E43" s="125"/>
      <c r="F43" s="21"/>
      <c r="G43" s="45" t="s">
        <v>67</v>
      </c>
      <c r="H43" s="12" t="s">
        <v>19</v>
      </c>
      <c r="I43" s="42">
        <f t="shared" si="11"/>
        <v>48</v>
      </c>
      <c r="J43" s="42">
        <v>4</v>
      </c>
      <c r="K43" s="42">
        <v>4</v>
      </c>
      <c r="L43" s="42">
        <v>4</v>
      </c>
      <c r="M43" s="42">
        <v>4</v>
      </c>
      <c r="N43" s="53">
        <f t="shared" si="12"/>
        <v>16</v>
      </c>
      <c r="O43" s="42">
        <v>4</v>
      </c>
      <c r="P43" s="42">
        <v>4</v>
      </c>
      <c r="Q43" s="42">
        <v>4</v>
      </c>
      <c r="R43" s="42">
        <v>4</v>
      </c>
      <c r="S43" s="53">
        <f t="shared" si="13"/>
        <v>16</v>
      </c>
      <c r="T43" s="42">
        <v>4</v>
      </c>
      <c r="U43" s="42">
        <v>4</v>
      </c>
      <c r="V43" s="42">
        <v>4</v>
      </c>
      <c r="W43" s="42">
        <v>4</v>
      </c>
      <c r="X43" s="53">
        <f t="shared" si="14"/>
        <v>16</v>
      </c>
      <c r="Y43" s="15">
        <f t="shared" si="8"/>
        <v>48</v>
      </c>
      <c r="Z43" s="26">
        <f t="shared" si="9"/>
        <v>1</v>
      </c>
      <c r="AA43" s="13"/>
      <c r="AB43" s="14"/>
      <c r="AC43" s="4">
        <f>5+3</f>
        <v>8</v>
      </c>
      <c r="AD43" s="64">
        <f t="shared" si="2"/>
        <v>4</v>
      </c>
      <c r="AE43" s="65">
        <f t="shared" si="3"/>
        <v>0.12</v>
      </c>
      <c r="AF43" s="66">
        <f t="shared" si="10"/>
        <v>4.12</v>
      </c>
      <c r="AG43" s="3"/>
      <c r="AH43" s="3"/>
      <c r="AI43" s="3"/>
      <c r="AJ43" s="3"/>
      <c r="AK43" s="3"/>
      <c r="AL43" s="3"/>
      <c r="AT43" s="1"/>
    </row>
    <row r="44" spans="2:46" ht="24" customHeight="1" x14ac:dyDescent="0.2">
      <c r="B44" s="46"/>
      <c r="C44" s="68"/>
      <c r="D44" s="69"/>
      <c r="E44" s="70"/>
      <c r="F44" s="21"/>
      <c r="G44" s="47" t="s">
        <v>69</v>
      </c>
      <c r="H44" s="48" t="s">
        <v>66</v>
      </c>
      <c r="I44" s="42">
        <f t="shared" ref="I44" si="15">N44+S44+X44</f>
        <v>34740</v>
      </c>
      <c r="J44" s="49">
        <v>2895</v>
      </c>
      <c r="K44" s="49">
        <v>2895</v>
      </c>
      <c r="L44" s="49">
        <v>2895</v>
      </c>
      <c r="M44" s="49">
        <v>2895</v>
      </c>
      <c r="N44" s="53">
        <f t="shared" ref="N44" si="16">J44+K44+L44+M44</f>
        <v>11580</v>
      </c>
      <c r="O44" s="49">
        <v>2895</v>
      </c>
      <c r="P44" s="49">
        <v>2895</v>
      </c>
      <c r="Q44" s="49">
        <v>2895</v>
      </c>
      <c r="R44" s="49">
        <v>2895</v>
      </c>
      <c r="S44" s="53">
        <f t="shared" ref="S44" si="17">O44+P44+Q44+R44</f>
        <v>11580</v>
      </c>
      <c r="T44" s="49">
        <v>2895</v>
      </c>
      <c r="U44" s="49">
        <v>2895</v>
      </c>
      <c r="V44" s="49">
        <v>2895</v>
      </c>
      <c r="W44" s="49">
        <v>2895</v>
      </c>
      <c r="X44" s="53">
        <f t="shared" ref="X44" si="18">T44+U44+V44+W44</f>
        <v>11580</v>
      </c>
      <c r="Y44" s="15">
        <f t="shared" ref="Y44" si="19">SUM(N44+S44+X44)</f>
        <v>34740</v>
      </c>
      <c r="Z44" s="26">
        <f t="shared" ref="Z44" si="20">SUM(Y44/I44)</f>
        <v>1</v>
      </c>
      <c r="AA44" s="13"/>
      <c r="AB44" s="14"/>
      <c r="AC44" s="4">
        <f>2657+2964</f>
        <v>5621</v>
      </c>
      <c r="AD44" s="64">
        <f t="shared" ref="AD44" si="21">AC44/2</f>
        <v>2810.5</v>
      </c>
      <c r="AE44" s="65">
        <f t="shared" ref="AE44" si="22">+AD44*0.03</f>
        <v>84.314999999999998</v>
      </c>
      <c r="AF44" s="66">
        <f t="shared" ref="AF44" si="23">AD44+AE44</f>
        <v>2894.8150000000001</v>
      </c>
      <c r="AG44" s="3"/>
      <c r="AH44" s="3"/>
      <c r="AI44" s="3"/>
      <c r="AJ44" s="3"/>
      <c r="AK44" s="3"/>
      <c r="AL44" s="3"/>
      <c r="AT44" s="1"/>
    </row>
    <row r="45" spans="2:46" ht="26.25" customHeight="1" x14ac:dyDescent="0.3">
      <c r="B45" s="25"/>
      <c r="C45" s="134" t="s">
        <v>84</v>
      </c>
      <c r="D45" s="135"/>
      <c r="E45" s="135"/>
      <c r="F45" s="135"/>
      <c r="G45" s="135"/>
      <c r="H45" s="135"/>
      <c r="I45" s="135"/>
      <c r="J45" s="135"/>
      <c r="K45" s="135"/>
      <c r="L45" s="135"/>
      <c r="M45" s="135"/>
      <c r="N45" s="135"/>
      <c r="O45" s="135"/>
      <c r="P45" s="135"/>
      <c r="Q45" s="135"/>
      <c r="R45" s="135"/>
      <c r="S45" s="135"/>
      <c r="T45" s="135"/>
      <c r="U45" s="135"/>
      <c r="V45" s="135"/>
      <c r="W45" s="135"/>
      <c r="X45" s="135"/>
      <c r="Y45" s="135"/>
      <c r="Z45" s="135"/>
      <c r="AA45" s="135"/>
      <c r="AB45" s="25"/>
      <c r="AC45" s="2"/>
      <c r="AD45" s="2"/>
      <c r="AE45" s="2"/>
      <c r="AF45" s="2"/>
      <c r="AG45" s="2"/>
      <c r="AH45" s="37"/>
      <c r="AI45" s="39"/>
      <c r="AJ45" s="36"/>
      <c r="AK45" s="20"/>
      <c r="AL45" s="2"/>
      <c r="AM45" s="2"/>
      <c r="AN45" s="2"/>
      <c r="AO45" s="2"/>
      <c r="AP45" s="2"/>
      <c r="AQ45" s="2"/>
      <c r="AR45" s="2"/>
      <c r="AS45" s="2"/>
    </row>
    <row r="46" spans="2:46" x14ac:dyDescent="0.2">
      <c r="AA46" s="19"/>
      <c r="AB46" s="19"/>
      <c r="AH46" s="38"/>
      <c r="AI46" s="38"/>
      <c r="AJ46" s="8"/>
      <c r="AK46" s="8"/>
    </row>
    <row r="47" spans="2:46" x14ac:dyDescent="0.2">
      <c r="P47" s="43"/>
    </row>
    <row r="48" spans="2:46" x14ac:dyDescent="0.2">
      <c r="P48" s="44"/>
      <c r="S48" s="54"/>
      <c r="AA48" s="20"/>
      <c r="AB48" s="20"/>
    </row>
    <row r="49" spans="14:28" ht="15" x14ac:dyDescent="0.2">
      <c r="P49" s="44"/>
      <c r="AB49" s="40"/>
    </row>
    <row r="50" spans="14:28" x14ac:dyDescent="0.2">
      <c r="P50" s="44"/>
    </row>
    <row r="51" spans="14:28" x14ac:dyDescent="0.2">
      <c r="P51" s="37"/>
    </row>
    <row r="55" spans="14:28" x14ac:dyDescent="0.2">
      <c r="N55" s="50" t="s">
        <v>53</v>
      </c>
    </row>
  </sheetData>
  <mergeCells count="59">
    <mergeCell ref="AB22:AB23"/>
    <mergeCell ref="B8:D8"/>
    <mergeCell ref="E8:AB8"/>
    <mergeCell ref="B4:AB4"/>
    <mergeCell ref="B5:AB5"/>
    <mergeCell ref="B6:AB6"/>
    <mergeCell ref="B7:D7"/>
    <mergeCell ref="E7:AB7"/>
    <mergeCell ref="B15:E15"/>
    <mergeCell ref="F15:AB15"/>
    <mergeCell ref="B9:D9"/>
    <mergeCell ref="E9:AB9"/>
    <mergeCell ref="B10:D10"/>
    <mergeCell ref="E10:AB10"/>
    <mergeCell ref="B11:D11"/>
    <mergeCell ref="E11:AB11"/>
    <mergeCell ref="T20:W20"/>
    <mergeCell ref="B12:AB12"/>
    <mergeCell ref="B13:E13"/>
    <mergeCell ref="F13:AB13"/>
    <mergeCell ref="B14:E14"/>
    <mergeCell ref="F14:AB14"/>
    <mergeCell ref="C43:E43"/>
    <mergeCell ref="C25:E25"/>
    <mergeCell ref="B16:AA16"/>
    <mergeCell ref="B17:E17"/>
    <mergeCell ref="F17:AB17"/>
    <mergeCell ref="B18:E18"/>
    <mergeCell ref="F18:AB18"/>
    <mergeCell ref="B19:B21"/>
    <mergeCell ref="C19:E21"/>
    <mergeCell ref="F19:F21"/>
    <mergeCell ref="G19:G21"/>
    <mergeCell ref="H19:H21"/>
    <mergeCell ref="I19:I21"/>
    <mergeCell ref="J19:AA19"/>
    <mergeCell ref="J20:M20"/>
    <mergeCell ref="O20:R20"/>
    <mergeCell ref="C32:E32"/>
    <mergeCell ref="C39:E39"/>
    <mergeCell ref="C40:E40"/>
    <mergeCell ref="C41:E41"/>
    <mergeCell ref="C42:E42"/>
    <mergeCell ref="AB29:AB35"/>
    <mergeCell ref="Y20:Z20"/>
    <mergeCell ref="C45:AA45"/>
    <mergeCell ref="C26:E26"/>
    <mergeCell ref="C33:E33"/>
    <mergeCell ref="C34:E34"/>
    <mergeCell ref="C35:E35"/>
    <mergeCell ref="C36:E36"/>
    <mergeCell ref="C37:E37"/>
    <mergeCell ref="C38:E38"/>
    <mergeCell ref="C22:E22"/>
    <mergeCell ref="C23:E23"/>
    <mergeCell ref="C24:E24"/>
    <mergeCell ref="C29:E29"/>
    <mergeCell ref="C30:E30"/>
    <mergeCell ref="C31:E31"/>
  </mergeCells>
  <printOptions horizontalCentered="1" verticalCentered="1"/>
  <pageMargins left="0.19685039370078741" right="0.19685039370078741" top="0.19685039370078741" bottom="0.78740157480314965" header="0.39370078740157483" footer="0.39370078740157483"/>
  <pageSetup scale="44" orientation="landscape" r:id="rId1"/>
  <headerFooter>
    <oddFooter>&amp;C&amp;9PLAN OPERATIVO ANUAL, 2022&amp;R&amp;P</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4:AJ46"/>
  <sheetViews>
    <sheetView showGridLines="0" tabSelected="1" view="pageBreakPreview" topLeftCell="A24" zoomScale="98" zoomScaleNormal="85" zoomScaleSheetLayoutView="98" workbookViewId="0">
      <selection activeCell="A26" sqref="A26:XFD45"/>
    </sheetView>
  </sheetViews>
  <sheetFormatPr baseColWidth="10" defaultColWidth="11.42578125" defaultRowHeight="12.75" x14ac:dyDescent="0.2"/>
  <cols>
    <col min="1" max="1" width="5.85546875" style="2" customWidth="1"/>
    <col min="2" max="2" width="4.28515625" style="2" customWidth="1"/>
    <col min="3" max="3" width="12.28515625" style="2" customWidth="1"/>
    <col min="4" max="4" width="1.42578125" style="2" customWidth="1"/>
    <col min="5" max="5" width="6.28515625" style="2" customWidth="1"/>
    <col min="6" max="6" width="21.5703125" style="2" customWidth="1"/>
    <col min="7" max="7" width="21" style="2" customWidth="1"/>
    <col min="8" max="8" width="10" style="2" customWidth="1"/>
    <col min="9" max="10" width="9.42578125" style="2" customWidth="1"/>
    <col min="11" max="11" width="6.7109375" style="2" bestFit="1" customWidth="1"/>
    <col min="12" max="12" width="8" style="2" customWidth="1"/>
    <col min="13" max="13" width="7.28515625" style="2" customWidth="1"/>
    <col min="14" max="14" width="8.42578125" style="2" customWidth="1"/>
    <col min="15" max="15" width="16.5703125" style="50" customWidth="1"/>
    <col min="16" max="16" width="6.5703125" style="2" customWidth="1"/>
    <col min="17" max="17" width="8" style="2" customWidth="1"/>
    <col min="18" max="18" width="5.42578125" style="2" customWidth="1"/>
    <col min="19" max="19" width="7.85546875" style="2" customWidth="1"/>
    <col min="20" max="20" width="16.28515625" style="50" customWidth="1"/>
    <col min="21" max="21" width="5.5703125" style="2" customWidth="1"/>
    <col min="22" max="22" width="6.28515625" style="2" customWidth="1"/>
    <col min="23" max="23" width="6.140625" style="2" customWidth="1"/>
    <col min="24" max="24" width="5.5703125" style="2" customWidth="1"/>
    <col min="25" max="25" width="16.5703125" style="50" customWidth="1"/>
    <col min="26" max="26" width="14.28515625" style="2" customWidth="1"/>
    <col min="27" max="27" width="14.7109375" style="2" customWidth="1"/>
    <col min="28" max="28" width="18.85546875" style="2" customWidth="1"/>
    <col min="29" max="29" width="20.5703125" style="1" customWidth="1"/>
    <col min="30" max="35" width="11.42578125" style="1"/>
    <col min="36" max="16384" width="11.42578125" style="2"/>
  </cols>
  <sheetData>
    <row r="4" spans="1:35" ht="52.5" customHeight="1" x14ac:dyDescent="0.2">
      <c r="B4" s="86" t="s">
        <v>89</v>
      </c>
      <c r="C4" s="86"/>
      <c r="D4" s="86"/>
      <c r="E4" s="86"/>
      <c r="F4" s="86"/>
      <c r="G4" s="86"/>
      <c r="H4" s="86"/>
      <c r="I4" s="86"/>
      <c r="J4" s="86"/>
      <c r="K4" s="86"/>
      <c r="L4" s="86"/>
      <c r="M4" s="86"/>
      <c r="N4" s="86"/>
      <c r="O4" s="86"/>
      <c r="P4" s="86"/>
      <c r="Q4" s="86"/>
      <c r="R4" s="86"/>
      <c r="S4" s="86"/>
      <c r="T4" s="86"/>
      <c r="U4" s="86"/>
      <c r="V4" s="86"/>
      <c r="W4" s="86"/>
      <c r="X4" s="86"/>
      <c r="Y4" s="86"/>
      <c r="Z4" s="86"/>
      <c r="AA4" s="86"/>
      <c r="AB4" s="86"/>
    </row>
    <row r="5" spans="1:35" ht="26.25" customHeight="1" x14ac:dyDescent="0.2">
      <c r="B5" s="87" t="s">
        <v>76</v>
      </c>
      <c r="C5" s="88"/>
      <c r="D5" s="88"/>
      <c r="E5" s="88"/>
      <c r="F5" s="88"/>
      <c r="G5" s="88"/>
      <c r="H5" s="88"/>
      <c r="I5" s="88"/>
      <c r="J5" s="88"/>
      <c r="K5" s="88"/>
      <c r="L5" s="88"/>
      <c r="M5" s="88"/>
      <c r="N5" s="88"/>
      <c r="O5" s="88"/>
      <c r="P5" s="88"/>
      <c r="Q5" s="88"/>
      <c r="R5" s="88"/>
      <c r="S5" s="88"/>
      <c r="T5" s="88"/>
      <c r="U5" s="88"/>
      <c r="V5" s="88"/>
      <c r="W5" s="88"/>
      <c r="X5" s="88"/>
      <c r="Y5" s="88"/>
      <c r="Z5" s="88"/>
      <c r="AA5" s="88"/>
      <c r="AB5" s="88"/>
    </row>
    <row r="6" spans="1:35" ht="26.45" customHeight="1" x14ac:dyDescent="0.2">
      <c r="B6" s="87" t="s">
        <v>96</v>
      </c>
      <c r="C6" s="88"/>
      <c r="D6" s="88"/>
      <c r="E6" s="88"/>
      <c r="F6" s="88"/>
      <c r="G6" s="88"/>
      <c r="H6" s="88"/>
      <c r="I6" s="88"/>
      <c r="J6" s="88"/>
      <c r="K6" s="88"/>
      <c r="L6" s="88"/>
      <c r="M6" s="88"/>
      <c r="N6" s="88"/>
      <c r="O6" s="88"/>
      <c r="P6" s="88"/>
      <c r="Q6" s="88"/>
      <c r="R6" s="88"/>
      <c r="S6" s="88"/>
      <c r="T6" s="88"/>
      <c r="U6" s="88"/>
      <c r="V6" s="88"/>
      <c r="W6" s="88"/>
      <c r="X6" s="88"/>
      <c r="Y6" s="88"/>
      <c r="Z6" s="88"/>
      <c r="AA6" s="88"/>
      <c r="AB6" s="88"/>
    </row>
    <row r="7" spans="1:35" s="4" customFormat="1" ht="19.5" hidden="1" customHeight="1" x14ac:dyDescent="0.2">
      <c r="A7" s="3"/>
      <c r="B7" s="82" t="s">
        <v>44</v>
      </c>
      <c r="C7" s="82"/>
      <c r="D7" s="82"/>
      <c r="E7" s="90" t="s">
        <v>0</v>
      </c>
      <c r="F7" s="90"/>
      <c r="G7" s="90"/>
      <c r="H7" s="90"/>
      <c r="I7" s="90"/>
      <c r="J7" s="90"/>
      <c r="K7" s="90"/>
      <c r="L7" s="90"/>
      <c r="M7" s="90"/>
      <c r="N7" s="90"/>
      <c r="O7" s="90"/>
      <c r="P7" s="90"/>
      <c r="Q7" s="90"/>
      <c r="R7" s="90"/>
      <c r="S7" s="90"/>
      <c r="T7" s="90"/>
      <c r="U7" s="90"/>
      <c r="V7" s="90"/>
      <c r="W7" s="90"/>
      <c r="X7" s="90"/>
      <c r="Y7" s="90"/>
      <c r="Z7" s="90"/>
      <c r="AA7" s="90"/>
      <c r="AB7" s="90"/>
      <c r="AC7" s="3"/>
      <c r="AD7" s="3"/>
      <c r="AE7" s="3"/>
      <c r="AF7" s="3"/>
      <c r="AG7" s="3"/>
      <c r="AH7" s="3"/>
      <c r="AI7" s="3"/>
    </row>
    <row r="8" spans="1:35" s="4" customFormat="1" ht="19.5" hidden="1" customHeight="1" x14ac:dyDescent="0.2">
      <c r="A8" s="3"/>
      <c r="B8" s="82" t="s">
        <v>45</v>
      </c>
      <c r="C8" s="82"/>
      <c r="D8" s="82"/>
      <c r="E8" s="83" t="s">
        <v>1</v>
      </c>
      <c r="F8" s="84"/>
      <c r="G8" s="84"/>
      <c r="H8" s="84"/>
      <c r="I8" s="84"/>
      <c r="J8" s="84"/>
      <c r="K8" s="84"/>
      <c r="L8" s="84"/>
      <c r="M8" s="84"/>
      <c r="N8" s="84"/>
      <c r="O8" s="84"/>
      <c r="P8" s="84"/>
      <c r="Q8" s="84"/>
      <c r="R8" s="84"/>
      <c r="S8" s="84"/>
      <c r="T8" s="84"/>
      <c r="U8" s="84"/>
      <c r="V8" s="84"/>
      <c r="W8" s="84"/>
      <c r="X8" s="84"/>
      <c r="Y8" s="84"/>
      <c r="Z8" s="84"/>
      <c r="AA8" s="84"/>
      <c r="AB8" s="84"/>
      <c r="AC8" s="3"/>
      <c r="AD8" s="3"/>
      <c r="AE8" s="3"/>
      <c r="AF8" s="3"/>
      <c r="AG8" s="3"/>
      <c r="AH8" s="3"/>
      <c r="AI8" s="3"/>
    </row>
    <row r="9" spans="1:35" s="3" customFormat="1" ht="32.25" hidden="1" customHeight="1" x14ac:dyDescent="0.2">
      <c r="B9" s="96" t="s">
        <v>46</v>
      </c>
      <c r="C9" s="96"/>
      <c r="D9" s="96"/>
      <c r="E9" s="97" t="s">
        <v>27</v>
      </c>
      <c r="F9" s="97"/>
      <c r="G9" s="97"/>
      <c r="H9" s="97"/>
      <c r="I9" s="97"/>
      <c r="J9" s="97"/>
      <c r="K9" s="97"/>
      <c r="L9" s="97"/>
      <c r="M9" s="97"/>
      <c r="N9" s="97"/>
      <c r="O9" s="97"/>
      <c r="P9" s="97"/>
      <c r="Q9" s="97"/>
      <c r="R9" s="97"/>
      <c r="S9" s="97"/>
      <c r="T9" s="97"/>
      <c r="U9" s="97"/>
      <c r="V9" s="97"/>
      <c r="W9" s="97"/>
      <c r="X9" s="97"/>
      <c r="Y9" s="97"/>
      <c r="Z9" s="97"/>
      <c r="AA9" s="97"/>
      <c r="AB9" s="97"/>
    </row>
    <row r="10" spans="1:35" s="3" customFormat="1" ht="147" hidden="1" customHeight="1" x14ac:dyDescent="0.2">
      <c r="B10" s="82" t="s">
        <v>2</v>
      </c>
      <c r="C10" s="82"/>
      <c r="D10" s="82"/>
      <c r="E10" s="98" t="s">
        <v>51</v>
      </c>
      <c r="F10" s="98"/>
      <c r="G10" s="98"/>
      <c r="H10" s="98"/>
      <c r="I10" s="98"/>
      <c r="J10" s="98"/>
      <c r="K10" s="98"/>
      <c r="L10" s="98"/>
      <c r="M10" s="98"/>
      <c r="N10" s="98"/>
      <c r="O10" s="98"/>
      <c r="P10" s="98"/>
      <c r="Q10" s="98"/>
      <c r="R10" s="98"/>
      <c r="S10" s="98"/>
      <c r="T10" s="98"/>
      <c r="U10" s="98"/>
      <c r="V10" s="98"/>
      <c r="W10" s="98"/>
      <c r="X10" s="98"/>
      <c r="Y10" s="98"/>
      <c r="Z10" s="98"/>
      <c r="AA10" s="98"/>
      <c r="AB10" s="98"/>
    </row>
    <row r="11" spans="1:35" ht="29.25" hidden="1" customHeight="1" x14ac:dyDescent="0.2">
      <c r="B11" s="82" t="s">
        <v>28</v>
      </c>
      <c r="C11" s="82"/>
      <c r="D11" s="82"/>
      <c r="E11" s="90" t="s">
        <v>52</v>
      </c>
      <c r="F11" s="90"/>
      <c r="G11" s="90"/>
      <c r="H11" s="90"/>
      <c r="I11" s="90"/>
      <c r="J11" s="90"/>
      <c r="K11" s="90"/>
      <c r="L11" s="90"/>
      <c r="M11" s="90"/>
      <c r="N11" s="90"/>
      <c r="O11" s="90"/>
      <c r="P11" s="90"/>
      <c r="Q11" s="90"/>
      <c r="R11" s="90"/>
      <c r="S11" s="90"/>
      <c r="T11" s="90"/>
      <c r="U11" s="90"/>
      <c r="V11" s="90"/>
      <c r="W11" s="90"/>
      <c r="X11" s="90"/>
      <c r="Y11" s="90"/>
      <c r="Z11" s="90"/>
      <c r="AA11" s="90"/>
      <c r="AB11" s="90"/>
    </row>
    <row r="12" spans="1:35" ht="24" customHeight="1" x14ac:dyDescent="0.2">
      <c r="B12" s="91" t="s">
        <v>48</v>
      </c>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2"/>
      <c r="AD12" s="2"/>
      <c r="AE12" s="2"/>
      <c r="AF12" s="2"/>
      <c r="AG12" s="2"/>
      <c r="AH12" s="2"/>
      <c r="AI12" s="2"/>
    </row>
    <row r="13" spans="1:35" s="9" customFormat="1" ht="24" customHeight="1" x14ac:dyDescent="0.2">
      <c r="B13" s="139" t="s">
        <v>39</v>
      </c>
      <c r="C13" s="139"/>
      <c r="D13" s="139"/>
      <c r="E13" s="139"/>
      <c r="F13" s="99" t="s">
        <v>47</v>
      </c>
      <c r="G13" s="100"/>
      <c r="H13" s="100"/>
      <c r="I13" s="100"/>
      <c r="J13" s="100"/>
      <c r="K13" s="100"/>
      <c r="L13" s="100"/>
      <c r="M13" s="100"/>
      <c r="N13" s="100"/>
      <c r="O13" s="100"/>
      <c r="P13" s="100"/>
      <c r="Q13" s="100"/>
      <c r="R13" s="100"/>
      <c r="S13" s="100"/>
      <c r="T13" s="100"/>
      <c r="U13" s="100"/>
      <c r="V13" s="100"/>
      <c r="W13" s="100"/>
      <c r="X13" s="100"/>
      <c r="Y13" s="100"/>
      <c r="Z13" s="100"/>
      <c r="AA13" s="100"/>
      <c r="AB13" s="100"/>
    </row>
    <row r="14" spans="1:35" s="9" customFormat="1" ht="36.75" customHeight="1" x14ac:dyDescent="0.2">
      <c r="B14" s="139" t="s">
        <v>29</v>
      </c>
      <c r="C14" s="139"/>
      <c r="D14" s="139"/>
      <c r="E14" s="139"/>
      <c r="F14" s="83" t="s">
        <v>77</v>
      </c>
      <c r="G14" s="84"/>
      <c r="H14" s="84"/>
      <c r="I14" s="84"/>
      <c r="J14" s="84"/>
      <c r="K14" s="84"/>
      <c r="L14" s="84"/>
      <c r="M14" s="84"/>
      <c r="N14" s="84"/>
      <c r="O14" s="84"/>
      <c r="P14" s="84"/>
      <c r="Q14" s="84"/>
      <c r="R14" s="84"/>
      <c r="S14" s="84"/>
      <c r="T14" s="84"/>
      <c r="U14" s="84"/>
      <c r="V14" s="84"/>
      <c r="W14" s="84"/>
      <c r="X14" s="84"/>
      <c r="Y14" s="84"/>
      <c r="Z14" s="84"/>
      <c r="AA14" s="84"/>
      <c r="AB14" s="84"/>
    </row>
    <row r="15" spans="1:35" s="9" customFormat="1" ht="23.25" customHeight="1" x14ac:dyDescent="0.2">
      <c r="B15" s="93" t="s">
        <v>49</v>
      </c>
      <c r="C15" s="94"/>
      <c r="D15" s="94"/>
      <c r="E15" s="95"/>
      <c r="F15" s="102" t="s">
        <v>50</v>
      </c>
      <c r="G15" s="103"/>
      <c r="H15" s="103"/>
      <c r="I15" s="103"/>
      <c r="J15" s="103"/>
      <c r="K15" s="103"/>
      <c r="L15" s="103"/>
      <c r="M15" s="103"/>
      <c r="N15" s="103"/>
      <c r="O15" s="103"/>
      <c r="P15" s="103"/>
      <c r="Q15" s="103"/>
      <c r="R15" s="103"/>
      <c r="S15" s="103"/>
      <c r="T15" s="103"/>
      <c r="U15" s="103"/>
      <c r="V15" s="103"/>
      <c r="W15" s="103"/>
      <c r="X15" s="103"/>
      <c r="Y15" s="103"/>
      <c r="Z15" s="103"/>
      <c r="AA15" s="103"/>
      <c r="AB15" s="103"/>
    </row>
    <row r="16" spans="1:35" s="9" customFormat="1" ht="21" customHeight="1" x14ac:dyDescent="0.2">
      <c r="B16" s="118" t="s">
        <v>42</v>
      </c>
      <c r="C16" s="118"/>
      <c r="D16" s="118"/>
      <c r="E16" s="118"/>
      <c r="F16" s="118"/>
      <c r="G16" s="118"/>
      <c r="H16" s="118"/>
      <c r="I16" s="118"/>
      <c r="J16" s="118"/>
      <c r="K16" s="118"/>
      <c r="L16" s="118"/>
      <c r="M16" s="118"/>
      <c r="N16" s="118"/>
      <c r="O16" s="118"/>
      <c r="P16" s="118"/>
      <c r="Q16" s="118"/>
      <c r="R16" s="118"/>
      <c r="S16" s="118"/>
      <c r="T16" s="118"/>
      <c r="U16" s="118"/>
      <c r="V16" s="118"/>
      <c r="W16" s="118"/>
      <c r="X16" s="118"/>
      <c r="Y16" s="118"/>
      <c r="Z16" s="118"/>
      <c r="AA16" s="118"/>
      <c r="AB16" s="118"/>
    </row>
    <row r="17" spans="2:36" s="9" customFormat="1" ht="36" customHeight="1" x14ac:dyDescent="0.2">
      <c r="B17" s="119" t="s">
        <v>40</v>
      </c>
      <c r="C17" s="119"/>
      <c r="D17" s="119"/>
      <c r="E17" s="119"/>
      <c r="F17" s="120" t="s">
        <v>70</v>
      </c>
      <c r="G17" s="121"/>
      <c r="H17" s="121"/>
      <c r="I17" s="121"/>
      <c r="J17" s="121"/>
      <c r="K17" s="121"/>
      <c r="L17" s="121"/>
      <c r="M17" s="121"/>
      <c r="N17" s="121"/>
      <c r="O17" s="121"/>
      <c r="P17" s="121"/>
      <c r="Q17" s="121"/>
      <c r="R17" s="121"/>
      <c r="S17" s="121"/>
      <c r="T17" s="121"/>
      <c r="U17" s="121"/>
      <c r="V17" s="121"/>
      <c r="W17" s="121"/>
      <c r="X17" s="121"/>
      <c r="Y17" s="121"/>
      <c r="Z17" s="121"/>
      <c r="AA17" s="121"/>
      <c r="AB17" s="121"/>
    </row>
    <row r="18" spans="2:36" s="9" customFormat="1" ht="17.25" customHeight="1" x14ac:dyDescent="0.2">
      <c r="B18" s="119" t="s">
        <v>41</v>
      </c>
      <c r="C18" s="119"/>
      <c r="D18" s="119"/>
      <c r="E18" s="119"/>
      <c r="F18" s="120" t="s">
        <v>88</v>
      </c>
      <c r="G18" s="121"/>
      <c r="H18" s="121"/>
      <c r="I18" s="121"/>
      <c r="J18" s="121"/>
      <c r="K18" s="121"/>
      <c r="L18" s="121"/>
      <c r="M18" s="121"/>
      <c r="N18" s="121"/>
      <c r="O18" s="121"/>
      <c r="P18" s="121"/>
      <c r="Q18" s="121"/>
      <c r="R18" s="121"/>
      <c r="S18" s="121"/>
      <c r="T18" s="121"/>
      <c r="U18" s="121"/>
      <c r="V18" s="121"/>
      <c r="W18" s="121"/>
      <c r="X18" s="121"/>
      <c r="Y18" s="121"/>
      <c r="Z18" s="121"/>
      <c r="AA18" s="121"/>
      <c r="AB18" s="121"/>
    </row>
    <row r="19" spans="2:36" ht="19.149999999999999" customHeight="1" x14ac:dyDescent="0.2">
      <c r="B19" s="105"/>
      <c r="C19" s="108" t="s">
        <v>30</v>
      </c>
      <c r="D19" s="109"/>
      <c r="E19" s="110"/>
      <c r="F19" s="114" t="s">
        <v>31</v>
      </c>
      <c r="G19" s="116" t="s">
        <v>4</v>
      </c>
      <c r="H19" s="114" t="s">
        <v>3</v>
      </c>
      <c r="I19" s="130" t="s">
        <v>92</v>
      </c>
      <c r="J19" s="130" t="s">
        <v>32</v>
      </c>
      <c r="K19" s="131" t="s">
        <v>97</v>
      </c>
      <c r="L19" s="131"/>
      <c r="M19" s="131"/>
      <c r="N19" s="131"/>
      <c r="O19" s="131"/>
      <c r="P19" s="131"/>
      <c r="Q19" s="131"/>
      <c r="R19" s="131"/>
      <c r="S19" s="131"/>
      <c r="T19" s="131"/>
      <c r="U19" s="131"/>
      <c r="V19" s="131"/>
      <c r="W19" s="131"/>
      <c r="X19" s="131"/>
      <c r="Y19" s="131"/>
      <c r="Z19" s="131"/>
      <c r="AA19" s="131"/>
      <c r="AB19" s="131"/>
    </row>
    <row r="20" spans="2:36" ht="27" customHeight="1" x14ac:dyDescent="0.2">
      <c r="B20" s="106"/>
      <c r="C20" s="108"/>
      <c r="D20" s="109"/>
      <c r="E20" s="110"/>
      <c r="F20" s="115"/>
      <c r="G20" s="116"/>
      <c r="H20" s="115"/>
      <c r="I20" s="130"/>
      <c r="J20" s="130"/>
      <c r="K20" s="132"/>
      <c r="L20" s="132"/>
      <c r="M20" s="132"/>
      <c r="N20" s="132"/>
      <c r="O20" s="74"/>
      <c r="P20" s="132"/>
      <c r="Q20" s="132"/>
      <c r="R20" s="132"/>
      <c r="S20" s="132"/>
      <c r="T20" s="74"/>
      <c r="U20" s="132"/>
      <c r="V20" s="132"/>
      <c r="W20" s="132"/>
      <c r="X20" s="132"/>
      <c r="Y20" s="74"/>
      <c r="Z20" s="133" t="s">
        <v>5</v>
      </c>
      <c r="AA20" s="133"/>
      <c r="AB20" s="27"/>
    </row>
    <row r="21" spans="2:36" ht="62.45" customHeight="1" x14ac:dyDescent="0.2">
      <c r="B21" s="107"/>
      <c r="C21" s="111"/>
      <c r="D21" s="112"/>
      <c r="E21" s="113"/>
      <c r="F21" s="115"/>
      <c r="G21" s="117"/>
      <c r="H21" s="115"/>
      <c r="I21" s="114"/>
      <c r="J21" s="114"/>
      <c r="K21" s="6" t="s">
        <v>6</v>
      </c>
      <c r="L21" s="6" t="s">
        <v>7</v>
      </c>
      <c r="M21" s="6" t="s">
        <v>8</v>
      </c>
      <c r="N21" s="6" t="s">
        <v>9</v>
      </c>
      <c r="O21" s="52" t="s">
        <v>38</v>
      </c>
      <c r="P21" s="7" t="s">
        <v>10</v>
      </c>
      <c r="Q21" s="7" t="s">
        <v>11</v>
      </c>
      <c r="R21" s="7" t="s">
        <v>12</v>
      </c>
      <c r="S21" s="7" t="s">
        <v>13</v>
      </c>
      <c r="T21" s="52" t="s">
        <v>36</v>
      </c>
      <c r="U21" s="77" t="s">
        <v>14</v>
      </c>
      <c r="V21" s="77" t="s">
        <v>15</v>
      </c>
      <c r="W21" s="77" t="s">
        <v>16</v>
      </c>
      <c r="X21" s="77" t="s">
        <v>17</v>
      </c>
      <c r="Y21" s="52" t="s">
        <v>37</v>
      </c>
      <c r="Z21" s="23" t="s">
        <v>33</v>
      </c>
      <c r="AA21" s="23" t="s">
        <v>34</v>
      </c>
      <c r="AB21" s="23" t="s">
        <v>86</v>
      </c>
      <c r="AC21" s="8"/>
    </row>
    <row r="22" spans="2:36" ht="106.9" customHeight="1" x14ac:dyDescent="0.2">
      <c r="B22" s="5"/>
      <c r="C22" s="128" t="s">
        <v>20</v>
      </c>
      <c r="D22" s="129"/>
      <c r="E22" s="129"/>
      <c r="F22" s="16"/>
      <c r="G22" s="11"/>
      <c r="H22" s="10" t="s">
        <v>18</v>
      </c>
      <c r="I22" s="18">
        <v>90888</v>
      </c>
      <c r="J22" s="18">
        <f>'[1]MATRIZ 2023. (2)'!$K$22+5054</f>
        <v>128895</v>
      </c>
      <c r="K22" s="18">
        <f>4707+932+2438+1347+5915</f>
        <v>15339</v>
      </c>
      <c r="L22" s="18">
        <f>+L24+L25+L26</f>
        <v>16490</v>
      </c>
      <c r="M22" s="15">
        <f>+M24+M25+M26</f>
        <v>18297</v>
      </c>
      <c r="N22" s="18">
        <f>SUM(N24:N26)</f>
        <v>12840</v>
      </c>
      <c r="O22" s="53">
        <f>SUM(K22:N22)</f>
        <v>62966</v>
      </c>
      <c r="P22" s="18">
        <f>SUM(P24:P26)</f>
        <v>17000</v>
      </c>
      <c r="Q22" s="18"/>
      <c r="R22" s="18"/>
      <c r="S22" s="18"/>
      <c r="T22" s="53">
        <f>SUM(P22:S22)</f>
        <v>17000</v>
      </c>
      <c r="U22" s="18"/>
      <c r="V22" s="18"/>
      <c r="W22" s="18"/>
      <c r="X22" s="18"/>
      <c r="Y22" s="53">
        <f>SUM(U22:X22)</f>
        <v>0</v>
      </c>
      <c r="Z22" s="15">
        <f>SUM(O22+T22+Y22)</f>
        <v>79966</v>
      </c>
      <c r="AA22" s="26">
        <f>SUM(Z22/J22)</f>
        <v>0.62039644672019856</v>
      </c>
      <c r="AB22" s="13">
        <v>42972820</v>
      </c>
    </row>
    <row r="23" spans="2:36" ht="81" customHeight="1" x14ac:dyDescent="0.2">
      <c r="B23" s="5"/>
      <c r="C23" s="123"/>
      <c r="D23" s="124"/>
      <c r="E23" s="125"/>
      <c r="F23" s="16" t="s">
        <v>21</v>
      </c>
      <c r="G23" s="11"/>
      <c r="H23" s="12" t="s">
        <v>18</v>
      </c>
      <c r="I23" s="18">
        <v>90888</v>
      </c>
      <c r="J23" s="18">
        <f>'[1]MATRIZ 2023. (2)'!$K$22+5054</f>
        <v>128895</v>
      </c>
      <c r="K23" s="18">
        <f>4707+932+2438+1347+5915</f>
        <v>15339</v>
      </c>
      <c r="L23" s="18">
        <f>+L24+L25+L26</f>
        <v>16490</v>
      </c>
      <c r="M23" s="15">
        <f>SUM(M24:M26)</f>
        <v>18297</v>
      </c>
      <c r="N23" s="15">
        <f>SUM(N24:N26)</f>
        <v>12840</v>
      </c>
      <c r="O23" s="53">
        <f>SUM(K23:N23)</f>
        <v>62966</v>
      </c>
      <c r="P23" s="15">
        <f>SUM(P24:P26)</f>
        <v>17000</v>
      </c>
      <c r="Q23" s="15"/>
      <c r="R23" s="15"/>
      <c r="S23" s="15"/>
      <c r="T23" s="53">
        <f>SUM(P23:S23)</f>
        <v>17000</v>
      </c>
      <c r="U23" s="15"/>
      <c r="V23" s="15"/>
      <c r="W23" s="15"/>
      <c r="X23" s="15"/>
      <c r="Y23" s="53">
        <f>SUM(U23:X23)</f>
        <v>0</v>
      </c>
      <c r="Z23" s="15">
        <f>SUM(O23+T23+Y23)</f>
        <v>79966</v>
      </c>
      <c r="AA23" s="26">
        <f t="shared" ref="AA23:AA26" si="0">SUM(Z23/J23)</f>
        <v>0.62039644672019856</v>
      </c>
      <c r="AB23" s="13">
        <f>+AB22</f>
        <v>42972820</v>
      </c>
    </row>
    <row r="24" spans="2:36" ht="38.25" x14ac:dyDescent="0.2">
      <c r="B24" s="5"/>
      <c r="C24" s="123"/>
      <c r="D24" s="124"/>
      <c r="E24" s="125"/>
      <c r="F24" s="21"/>
      <c r="G24" s="17" t="s">
        <v>90</v>
      </c>
      <c r="H24" s="12" t="s">
        <v>18</v>
      </c>
      <c r="I24" s="18">
        <v>9216</v>
      </c>
      <c r="J24" s="18">
        <f>'[1]MATRIZ 2023. (2)'!$K$24+513</f>
        <v>13070</v>
      </c>
      <c r="K24" s="15">
        <f>932+1347</f>
        <v>2279</v>
      </c>
      <c r="L24" s="15">
        <f>648+1022</f>
        <v>1670</v>
      </c>
      <c r="M24" s="15">
        <f>792+1346</f>
        <v>2138</v>
      </c>
      <c r="N24" s="15">
        <f>757+1085</f>
        <v>1842</v>
      </c>
      <c r="O24" s="53">
        <f>SUM(K24:N24)</f>
        <v>7929</v>
      </c>
      <c r="P24" s="15">
        <f>968+1445</f>
        <v>2413</v>
      </c>
      <c r="Q24" s="15"/>
      <c r="R24" s="15"/>
      <c r="S24" s="15"/>
      <c r="T24" s="53">
        <f>SUM(P24:S24)</f>
        <v>2413</v>
      </c>
      <c r="U24" s="15"/>
      <c r="V24" s="15"/>
      <c r="W24" s="15"/>
      <c r="X24" s="15"/>
      <c r="Y24" s="53">
        <f>SUM(U24:X24)</f>
        <v>0</v>
      </c>
      <c r="Z24" s="15">
        <f>Y24+T24+O24</f>
        <v>10342</v>
      </c>
      <c r="AA24" s="26">
        <f t="shared" si="0"/>
        <v>0.79127773527161438</v>
      </c>
      <c r="AB24" s="13"/>
    </row>
    <row r="25" spans="2:36" ht="25.5" x14ac:dyDescent="0.2">
      <c r="B25" s="5"/>
      <c r="C25" s="123"/>
      <c r="D25" s="124"/>
      <c r="E25" s="125"/>
      <c r="F25" s="21"/>
      <c r="G25" s="17" t="s">
        <v>23</v>
      </c>
      <c r="H25" s="12" t="s">
        <v>18</v>
      </c>
      <c r="I25" s="18">
        <v>28488</v>
      </c>
      <c r="J25" s="18">
        <f>'[1]MATRIZ 2023. (2)'!$K$25+1584</f>
        <v>40401</v>
      </c>
      <c r="K25" s="15">
        <v>2438</v>
      </c>
      <c r="L25" s="15">
        <v>3047</v>
      </c>
      <c r="M25" s="15">
        <v>3271</v>
      </c>
      <c r="N25" s="15">
        <v>2038</v>
      </c>
      <c r="O25" s="53">
        <f t="shared" ref="O25:O26" si="1">SUM(K25:N25)</f>
        <v>10794</v>
      </c>
      <c r="P25" s="15">
        <v>2765</v>
      </c>
      <c r="Q25" s="15"/>
      <c r="R25" s="15"/>
      <c r="S25" s="15"/>
      <c r="T25" s="53">
        <f t="shared" ref="T25:T26" si="2">SUM(P25:S25)</f>
        <v>2765</v>
      </c>
      <c r="U25" s="15"/>
      <c r="V25" s="15"/>
      <c r="W25" s="15"/>
      <c r="X25" s="15"/>
      <c r="Y25" s="53">
        <f t="shared" ref="Y25:Y26" si="3">SUM(U25:X25)</f>
        <v>0</v>
      </c>
      <c r="Z25" s="15">
        <f t="shared" ref="Z25:Z26" si="4">Y25+T25+O25</f>
        <v>13559</v>
      </c>
      <c r="AA25" s="26">
        <f t="shared" si="0"/>
        <v>0.33561050469047798</v>
      </c>
      <c r="AB25" s="13"/>
    </row>
    <row r="26" spans="2:36" ht="39" thickBot="1" x14ac:dyDescent="0.25">
      <c r="B26" s="5"/>
      <c r="C26" s="123"/>
      <c r="D26" s="124"/>
      <c r="E26" s="125"/>
      <c r="F26" s="21"/>
      <c r="G26" s="75" t="s">
        <v>91</v>
      </c>
      <c r="H26" s="12" t="s">
        <v>18</v>
      </c>
      <c r="I26" s="76">
        <v>53184</v>
      </c>
      <c r="J26" s="18">
        <f>'[1]MATRIZ 2023. (2)'!$K$26+2957</f>
        <v>75424</v>
      </c>
      <c r="K26" s="15">
        <f>4707+5915</f>
        <v>10622</v>
      </c>
      <c r="L26" s="15">
        <f>5220+6553</f>
        <v>11773</v>
      </c>
      <c r="M26" s="15">
        <f>5639+7249</f>
        <v>12888</v>
      </c>
      <c r="N26" s="15">
        <f>3976+4984</f>
        <v>8960</v>
      </c>
      <c r="O26" s="53">
        <f t="shared" si="1"/>
        <v>44243</v>
      </c>
      <c r="P26" s="15">
        <f>5220+6602</f>
        <v>11822</v>
      </c>
      <c r="Q26" s="15"/>
      <c r="R26" s="15"/>
      <c r="S26" s="15"/>
      <c r="T26" s="53">
        <f t="shared" si="2"/>
        <v>11822</v>
      </c>
      <c r="U26" s="15"/>
      <c r="V26" s="15"/>
      <c r="W26" s="15"/>
      <c r="X26" s="15"/>
      <c r="Y26" s="53">
        <f t="shared" si="3"/>
        <v>0</v>
      </c>
      <c r="Z26" s="15">
        <f t="shared" si="4"/>
        <v>56065</v>
      </c>
      <c r="AA26" s="26">
        <f t="shared" si="0"/>
        <v>0.74333103521425536</v>
      </c>
      <c r="AB26" s="13"/>
    </row>
    <row r="27" spans="2:36" ht="24" customHeight="1" thickTop="1" x14ac:dyDescent="0.2">
      <c r="B27" s="5"/>
      <c r="C27" s="71"/>
      <c r="D27" s="72"/>
      <c r="E27" s="73"/>
      <c r="F27" s="21"/>
      <c r="G27" s="17"/>
      <c r="H27" s="12"/>
      <c r="I27" s="18"/>
      <c r="J27" s="18"/>
      <c r="K27" s="15"/>
      <c r="L27" s="15"/>
      <c r="M27" s="15"/>
      <c r="N27" s="15"/>
      <c r="O27" s="53"/>
      <c r="P27" s="15"/>
      <c r="Q27" s="15"/>
      <c r="R27" s="15"/>
      <c r="S27" s="15"/>
      <c r="T27" s="53"/>
      <c r="U27" s="15"/>
      <c r="V27" s="15"/>
      <c r="W27" s="15"/>
      <c r="X27" s="15"/>
      <c r="Y27" s="53"/>
      <c r="Z27" s="15"/>
      <c r="AA27" s="26"/>
      <c r="AB27" s="13"/>
    </row>
    <row r="28" spans="2:36" ht="24" customHeight="1" x14ac:dyDescent="0.2">
      <c r="B28" s="5"/>
      <c r="C28" s="71"/>
      <c r="D28" s="72"/>
      <c r="E28" s="73"/>
      <c r="F28" s="21"/>
      <c r="G28" s="17"/>
      <c r="H28" s="12"/>
      <c r="I28" s="18"/>
      <c r="J28" s="18"/>
      <c r="K28" s="15"/>
      <c r="L28" s="15"/>
      <c r="M28" s="15"/>
      <c r="N28" s="15"/>
      <c r="O28" s="53"/>
      <c r="P28" s="15"/>
      <c r="Q28" s="15"/>
      <c r="R28" s="15"/>
      <c r="S28" s="15"/>
      <c r="T28" s="53"/>
      <c r="U28" s="15"/>
      <c r="V28" s="15"/>
      <c r="W28" s="15"/>
      <c r="X28" s="15"/>
      <c r="Y28" s="53"/>
      <c r="Z28" s="15"/>
      <c r="AA28" s="26"/>
      <c r="AB28" s="13"/>
    </row>
    <row r="29" spans="2:36" ht="25.5" x14ac:dyDescent="0.2">
      <c r="B29" s="5"/>
      <c r="C29" s="123"/>
      <c r="D29" s="124"/>
      <c r="E29" s="125"/>
      <c r="F29" s="21"/>
      <c r="G29" s="41" t="s">
        <v>54</v>
      </c>
      <c r="H29" s="12" t="s">
        <v>19</v>
      </c>
      <c r="I29" s="42">
        <v>6</v>
      </c>
      <c r="J29" s="42">
        <f>I29</f>
        <v>6</v>
      </c>
      <c r="K29" s="42">
        <v>0</v>
      </c>
      <c r="L29" s="42">
        <v>1</v>
      </c>
      <c r="M29" s="42">
        <v>1</v>
      </c>
      <c r="N29" s="42">
        <v>3</v>
      </c>
      <c r="O29" s="53">
        <f>SUM(K29:N29)</f>
        <v>5</v>
      </c>
      <c r="P29" s="42">
        <v>1</v>
      </c>
      <c r="Q29" s="42"/>
      <c r="R29" s="42"/>
      <c r="S29" s="42"/>
      <c r="T29" s="53">
        <f t="shared" ref="T29:T30" si="5">SUM(P29:S29)</f>
        <v>1</v>
      </c>
      <c r="U29" s="42"/>
      <c r="V29" s="42"/>
      <c r="W29" s="42"/>
      <c r="X29" s="42"/>
      <c r="Y29" s="53">
        <f t="shared" ref="Y29:Y30" si="6">SUM(U29:X29)</f>
        <v>0</v>
      </c>
      <c r="Z29" s="15">
        <f t="shared" ref="Z29:Z43" si="7">SUM(O29+T29+Y29)</f>
        <v>6</v>
      </c>
      <c r="AA29" s="26">
        <f>SUM(Z29/J29)</f>
        <v>1</v>
      </c>
      <c r="AB29" s="13"/>
      <c r="AJ29" s="1"/>
    </row>
    <row r="30" spans="2:36" ht="25.5" x14ac:dyDescent="0.2">
      <c r="B30" s="5"/>
      <c r="C30" s="123"/>
      <c r="D30" s="124"/>
      <c r="E30" s="125"/>
      <c r="F30" s="21"/>
      <c r="G30" s="41" t="s">
        <v>25</v>
      </c>
      <c r="H30" s="12" t="s">
        <v>19</v>
      </c>
      <c r="I30" s="42">
        <v>6</v>
      </c>
      <c r="J30" s="42">
        <f t="shared" ref="J30:J44" si="8">I30</f>
        <v>6</v>
      </c>
      <c r="K30" s="42">
        <v>0</v>
      </c>
      <c r="L30" s="42">
        <v>0</v>
      </c>
      <c r="M30" s="42">
        <v>0</v>
      </c>
      <c r="N30" s="42">
        <v>0</v>
      </c>
      <c r="O30" s="53">
        <f t="shared" ref="O30" si="9">SUM(K30:N30)</f>
        <v>0</v>
      </c>
      <c r="P30" s="42">
        <v>0</v>
      </c>
      <c r="Q30" s="42"/>
      <c r="R30" s="42"/>
      <c r="S30" s="42"/>
      <c r="T30" s="53">
        <f t="shared" si="5"/>
        <v>0</v>
      </c>
      <c r="U30" s="42"/>
      <c r="V30" s="42"/>
      <c r="W30" s="42"/>
      <c r="X30" s="42"/>
      <c r="Y30" s="53">
        <f t="shared" si="6"/>
        <v>0</v>
      </c>
      <c r="Z30" s="15">
        <f t="shared" si="7"/>
        <v>0</v>
      </c>
      <c r="AA30" s="26">
        <f t="shared" ref="AA30:AA44" si="10">SUM(Z30/J30)</f>
        <v>0</v>
      </c>
      <c r="AB30" s="13"/>
      <c r="AJ30" s="1"/>
    </row>
    <row r="31" spans="2:36" ht="25.5" x14ac:dyDescent="0.2">
      <c r="B31" s="5"/>
      <c r="C31" s="123"/>
      <c r="D31" s="124"/>
      <c r="E31" s="125"/>
      <c r="F31" s="21"/>
      <c r="G31" s="41" t="s">
        <v>55</v>
      </c>
      <c r="H31" s="12" t="s">
        <v>19</v>
      </c>
      <c r="I31" s="42">
        <v>6564</v>
      </c>
      <c r="J31" s="42">
        <f t="shared" si="8"/>
        <v>6564</v>
      </c>
      <c r="K31" s="42">
        <v>565</v>
      </c>
      <c r="L31" s="42">
        <v>556</v>
      </c>
      <c r="M31" s="42">
        <v>731</v>
      </c>
      <c r="N31" s="42">
        <v>437</v>
      </c>
      <c r="O31" s="53">
        <f>K31+L31+M31+N31</f>
        <v>2289</v>
      </c>
      <c r="P31" s="42">
        <v>732</v>
      </c>
      <c r="Q31" s="42"/>
      <c r="R31" s="42"/>
      <c r="S31" s="42"/>
      <c r="T31" s="53">
        <f>P31+Q31+R31+S31</f>
        <v>732</v>
      </c>
      <c r="U31" s="42"/>
      <c r="V31" s="42"/>
      <c r="W31" s="42"/>
      <c r="X31" s="42"/>
      <c r="Y31" s="53">
        <f>U31+V31+W31+X31</f>
        <v>0</v>
      </c>
      <c r="Z31" s="15">
        <f t="shared" si="7"/>
        <v>3021</v>
      </c>
      <c r="AA31" s="26">
        <f t="shared" si="10"/>
        <v>0.46023765996343691</v>
      </c>
      <c r="AB31" s="13"/>
      <c r="AJ31" s="1"/>
    </row>
    <row r="32" spans="2:36" ht="24" customHeight="1" x14ac:dyDescent="0.2">
      <c r="B32" s="5"/>
      <c r="C32" s="123"/>
      <c r="D32" s="124"/>
      <c r="E32" s="125"/>
      <c r="F32" s="21"/>
      <c r="G32" s="41" t="s">
        <v>56</v>
      </c>
      <c r="H32" s="12" t="s">
        <v>19</v>
      </c>
      <c r="I32" s="42">
        <v>3900</v>
      </c>
      <c r="J32" s="42">
        <f t="shared" si="8"/>
        <v>3900</v>
      </c>
      <c r="K32" s="42">
        <v>333</v>
      </c>
      <c r="L32" s="42">
        <v>355</v>
      </c>
      <c r="M32" s="42">
        <v>468</v>
      </c>
      <c r="N32" s="42">
        <v>296</v>
      </c>
      <c r="O32" s="53">
        <f t="shared" ref="O32:O44" si="11">K32+L32+M32+N32</f>
        <v>1452</v>
      </c>
      <c r="P32" s="42">
        <v>388</v>
      </c>
      <c r="Q32" s="42"/>
      <c r="R32" s="42"/>
      <c r="S32" s="42"/>
      <c r="T32" s="53">
        <f t="shared" ref="T32:T44" si="12">P32+Q32+R32+S32</f>
        <v>388</v>
      </c>
      <c r="U32" s="42"/>
      <c r="V32" s="42"/>
      <c r="W32" s="42"/>
      <c r="X32" s="42"/>
      <c r="Y32" s="53">
        <f t="shared" ref="Y32:Y44" si="13">U32+V32+W32+X32</f>
        <v>0</v>
      </c>
      <c r="Z32" s="15">
        <f t="shared" si="7"/>
        <v>1840</v>
      </c>
      <c r="AA32" s="26">
        <f t="shared" si="10"/>
        <v>0.47179487179487178</v>
      </c>
      <c r="AB32" s="13"/>
      <c r="AJ32" s="1"/>
    </row>
    <row r="33" spans="2:36" ht="25.5" x14ac:dyDescent="0.2">
      <c r="B33" s="5"/>
      <c r="C33" s="123"/>
      <c r="D33" s="124"/>
      <c r="E33" s="125"/>
      <c r="F33" s="21"/>
      <c r="G33" s="41" t="s">
        <v>57</v>
      </c>
      <c r="H33" s="12" t="s">
        <v>19</v>
      </c>
      <c r="I33" s="42">
        <v>9312</v>
      </c>
      <c r="J33" s="42">
        <f t="shared" si="8"/>
        <v>9312</v>
      </c>
      <c r="K33" s="42">
        <v>776</v>
      </c>
      <c r="L33" s="42">
        <v>599</v>
      </c>
      <c r="M33" s="42">
        <v>847</v>
      </c>
      <c r="N33" s="42">
        <v>557</v>
      </c>
      <c r="O33" s="53">
        <f t="shared" si="11"/>
        <v>2779</v>
      </c>
      <c r="P33" s="42">
        <v>860</v>
      </c>
      <c r="Q33" s="42"/>
      <c r="R33" s="42"/>
      <c r="S33" s="42"/>
      <c r="T33" s="53">
        <f t="shared" si="12"/>
        <v>860</v>
      </c>
      <c r="U33" s="42"/>
      <c r="V33" s="42"/>
      <c r="W33" s="42"/>
      <c r="X33" s="42"/>
      <c r="Y33" s="53">
        <f t="shared" si="13"/>
        <v>0</v>
      </c>
      <c r="Z33" s="15">
        <f t="shared" si="7"/>
        <v>3639</v>
      </c>
      <c r="AA33" s="26">
        <f t="shared" si="10"/>
        <v>0.3907860824742268</v>
      </c>
      <c r="AB33" s="13"/>
      <c r="AJ33" s="1"/>
    </row>
    <row r="34" spans="2:36" ht="25.5" x14ac:dyDescent="0.2">
      <c r="B34" s="5"/>
      <c r="C34" s="123"/>
      <c r="D34" s="124"/>
      <c r="E34" s="125"/>
      <c r="F34" s="21"/>
      <c r="G34" s="41" t="s">
        <v>58</v>
      </c>
      <c r="H34" s="12" t="s">
        <v>19</v>
      </c>
      <c r="I34" s="42">
        <v>16164</v>
      </c>
      <c r="J34" s="42">
        <f t="shared" si="8"/>
        <v>16164</v>
      </c>
      <c r="K34" s="42">
        <v>1312</v>
      </c>
      <c r="L34" s="42">
        <v>1486</v>
      </c>
      <c r="M34" s="42">
        <v>1741</v>
      </c>
      <c r="N34" s="42">
        <v>1118</v>
      </c>
      <c r="O34" s="53">
        <f t="shared" si="11"/>
        <v>5657</v>
      </c>
      <c r="P34" s="42">
        <v>1508</v>
      </c>
      <c r="Q34" s="42"/>
      <c r="R34" s="42"/>
      <c r="S34" s="42"/>
      <c r="T34" s="53">
        <f t="shared" si="12"/>
        <v>1508</v>
      </c>
      <c r="U34" s="42"/>
      <c r="V34" s="42"/>
      <c r="W34" s="42"/>
      <c r="X34" s="42"/>
      <c r="Y34" s="53">
        <f t="shared" si="13"/>
        <v>0</v>
      </c>
      <c r="Z34" s="15">
        <f t="shared" si="7"/>
        <v>7165</v>
      </c>
      <c r="AA34" s="26">
        <f t="shared" si="10"/>
        <v>0.44326899282355853</v>
      </c>
      <c r="AB34" s="13"/>
      <c r="AJ34" s="1"/>
    </row>
    <row r="35" spans="2:36" ht="25.5" x14ac:dyDescent="0.2">
      <c r="B35" s="5"/>
      <c r="C35" s="123"/>
      <c r="D35" s="124"/>
      <c r="E35" s="125"/>
      <c r="F35" s="21"/>
      <c r="G35" s="41" t="s">
        <v>59</v>
      </c>
      <c r="H35" s="12" t="s">
        <v>19</v>
      </c>
      <c r="I35" s="42">
        <v>36060</v>
      </c>
      <c r="J35" s="42">
        <f t="shared" si="8"/>
        <v>36060</v>
      </c>
      <c r="K35" s="42">
        <v>3352</v>
      </c>
      <c r="L35" s="42">
        <v>3158</v>
      </c>
      <c r="M35" s="42">
        <v>3719</v>
      </c>
      <c r="N35" s="42">
        <v>2668</v>
      </c>
      <c r="O35" s="53">
        <f t="shared" si="11"/>
        <v>12897</v>
      </c>
      <c r="P35" s="42">
        <v>3747</v>
      </c>
      <c r="Q35" s="42"/>
      <c r="R35" s="42"/>
      <c r="S35" s="42"/>
      <c r="T35" s="53">
        <f t="shared" si="12"/>
        <v>3747</v>
      </c>
      <c r="U35" s="42"/>
      <c r="V35" s="42"/>
      <c r="W35" s="42"/>
      <c r="X35" s="42"/>
      <c r="Y35" s="53">
        <f t="shared" si="13"/>
        <v>0</v>
      </c>
      <c r="Z35" s="15">
        <f t="shared" si="7"/>
        <v>16644</v>
      </c>
      <c r="AA35" s="26">
        <f t="shared" si="10"/>
        <v>0.46156405990016641</v>
      </c>
      <c r="AB35" s="13"/>
      <c r="AJ35" s="1"/>
    </row>
    <row r="36" spans="2:36" ht="25.5" x14ac:dyDescent="0.2">
      <c r="B36" s="5"/>
      <c r="C36" s="123"/>
      <c r="D36" s="124"/>
      <c r="E36" s="125"/>
      <c r="F36" s="21"/>
      <c r="G36" s="41" t="s">
        <v>60</v>
      </c>
      <c r="H36" s="12" t="s">
        <v>19</v>
      </c>
      <c r="I36" s="42">
        <v>6444</v>
      </c>
      <c r="J36" s="42">
        <f t="shared" si="8"/>
        <v>6444</v>
      </c>
      <c r="K36" s="42">
        <v>422</v>
      </c>
      <c r="L36" s="42">
        <v>550</v>
      </c>
      <c r="M36" s="42">
        <v>672</v>
      </c>
      <c r="N36" s="42">
        <v>445</v>
      </c>
      <c r="O36" s="53">
        <f t="shared" si="11"/>
        <v>2089</v>
      </c>
      <c r="P36" s="42">
        <v>548</v>
      </c>
      <c r="Q36" s="42"/>
      <c r="R36" s="42"/>
      <c r="S36" s="42"/>
      <c r="T36" s="53">
        <f t="shared" si="12"/>
        <v>548</v>
      </c>
      <c r="U36" s="42"/>
      <c r="V36" s="42"/>
      <c r="W36" s="42"/>
      <c r="X36" s="42"/>
      <c r="Y36" s="53">
        <f t="shared" si="13"/>
        <v>0</v>
      </c>
      <c r="Z36" s="15">
        <f t="shared" si="7"/>
        <v>2637</v>
      </c>
      <c r="AA36" s="26">
        <f t="shared" si="10"/>
        <v>0.40921787709497209</v>
      </c>
      <c r="AB36" s="13"/>
      <c r="AJ36" s="1"/>
    </row>
    <row r="37" spans="2:36" ht="24" customHeight="1" x14ac:dyDescent="0.2">
      <c r="B37" s="5"/>
      <c r="C37" s="123"/>
      <c r="D37" s="124"/>
      <c r="E37" s="125"/>
      <c r="F37" s="21"/>
      <c r="G37" s="41" t="s">
        <v>61</v>
      </c>
      <c r="H37" s="12" t="s">
        <v>19</v>
      </c>
      <c r="I37" s="42">
        <v>3936</v>
      </c>
      <c r="J37" s="42">
        <f t="shared" si="8"/>
        <v>3936</v>
      </c>
      <c r="K37" s="42">
        <v>511</v>
      </c>
      <c r="L37" s="42">
        <v>475</v>
      </c>
      <c r="M37" s="42">
        <v>451</v>
      </c>
      <c r="N37" s="42">
        <v>242</v>
      </c>
      <c r="O37" s="53">
        <f t="shared" si="11"/>
        <v>1679</v>
      </c>
      <c r="P37" s="42">
        <v>461</v>
      </c>
      <c r="Q37" s="42"/>
      <c r="R37" s="42"/>
      <c r="S37" s="42"/>
      <c r="T37" s="53">
        <f t="shared" si="12"/>
        <v>461</v>
      </c>
      <c r="U37" s="42"/>
      <c r="V37" s="42"/>
      <c r="W37" s="42"/>
      <c r="X37" s="42"/>
      <c r="Y37" s="53">
        <f t="shared" si="13"/>
        <v>0</v>
      </c>
      <c r="Z37" s="15">
        <f t="shared" si="7"/>
        <v>2140</v>
      </c>
      <c r="AA37" s="26">
        <f t="shared" si="10"/>
        <v>0.54369918699186992</v>
      </c>
      <c r="AB37" s="13"/>
      <c r="AJ37" s="1"/>
    </row>
    <row r="38" spans="2:36" ht="25.5" x14ac:dyDescent="0.2">
      <c r="B38" s="5"/>
      <c r="C38" s="123"/>
      <c r="D38" s="124"/>
      <c r="E38" s="125"/>
      <c r="F38" s="21"/>
      <c r="G38" s="41" t="s">
        <v>62</v>
      </c>
      <c r="H38" s="12" t="s">
        <v>19</v>
      </c>
      <c r="I38" s="42">
        <v>24984</v>
      </c>
      <c r="J38" s="42">
        <f t="shared" si="8"/>
        <v>24984</v>
      </c>
      <c r="K38" s="42">
        <v>2810</v>
      </c>
      <c r="L38" s="42">
        <v>2406</v>
      </c>
      <c r="M38" s="42">
        <v>2780</v>
      </c>
      <c r="N38" s="42">
        <v>1892</v>
      </c>
      <c r="O38" s="53">
        <f t="shared" si="11"/>
        <v>9888</v>
      </c>
      <c r="P38" s="42">
        <v>2644</v>
      </c>
      <c r="Q38" s="42"/>
      <c r="R38" s="42"/>
      <c r="S38" s="42"/>
      <c r="T38" s="53">
        <f t="shared" si="12"/>
        <v>2644</v>
      </c>
      <c r="U38" s="42"/>
      <c r="V38" s="42"/>
      <c r="W38" s="42"/>
      <c r="X38" s="42"/>
      <c r="Y38" s="53">
        <f t="shared" si="13"/>
        <v>0</v>
      </c>
      <c r="Z38" s="15">
        <f t="shared" si="7"/>
        <v>12532</v>
      </c>
      <c r="AA38" s="26">
        <f t="shared" si="10"/>
        <v>0.50160102465577971</v>
      </c>
      <c r="AB38" s="13"/>
      <c r="AJ38" s="1"/>
    </row>
    <row r="39" spans="2:36" ht="24" customHeight="1" x14ac:dyDescent="0.2">
      <c r="B39" s="5"/>
      <c r="C39" s="123"/>
      <c r="D39" s="124"/>
      <c r="E39" s="125"/>
      <c r="F39" s="21"/>
      <c r="G39" s="41" t="s">
        <v>63</v>
      </c>
      <c r="H39" s="12" t="s">
        <v>19</v>
      </c>
      <c r="I39" s="42">
        <v>1872</v>
      </c>
      <c r="J39" s="42">
        <f t="shared" si="8"/>
        <v>1872</v>
      </c>
      <c r="K39" s="42">
        <v>100</v>
      </c>
      <c r="L39" s="42">
        <v>111</v>
      </c>
      <c r="M39" s="42">
        <v>194</v>
      </c>
      <c r="N39" s="42">
        <v>131</v>
      </c>
      <c r="O39" s="53">
        <f t="shared" si="11"/>
        <v>536</v>
      </c>
      <c r="P39" s="42">
        <v>168</v>
      </c>
      <c r="Q39" s="42"/>
      <c r="R39" s="42"/>
      <c r="S39" s="42"/>
      <c r="T39" s="53">
        <f t="shared" si="12"/>
        <v>168</v>
      </c>
      <c r="U39" s="42"/>
      <c r="V39" s="42"/>
      <c r="W39" s="42"/>
      <c r="X39" s="42"/>
      <c r="Y39" s="53">
        <f t="shared" si="13"/>
        <v>0</v>
      </c>
      <c r="Z39" s="15">
        <f t="shared" si="7"/>
        <v>704</v>
      </c>
      <c r="AA39" s="26">
        <f t="shared" si="10"/>
        <v>0.37606837606837606</v>
      </c>
      <c r="AB39" s="13"/>
      <c r="AJ39" s="1"/>
    </row>
    <row r="40" spans="2:36" ht="24" customHeight="1" x14ac:dyDescent="0.2">
      <c r="B40" s="5"/>
      <c r="C40" s="123"/>
      <c r="D40" s="124"/>
      <c r="E40" s="125"/>
      <c r="F40" s="21"/>
      <c r="G40" s="41" t="s">
        <v>26</v>
      </c>
      <c r="H40" s="12" t="s">
        <v>19</v>
      </c>
      <c r="I40" s="42">
        <v>252</v>
      </c>
      <c r="J40" s="42">
        <f t="shared" si="8"/>
        <v>252</v>
      </c>
      <c r="K40" s="42">
        <v>21</v>
      </c>
      <c r="L40" s="42">
        <v>12</v>
      </c>
      <c r="M40" s="42">
        <v>10</v>
      </c>
      <c r="N40" s="42">
        <v>4</v>
      </c>
      <c r="O40" s="53">
        <f t="shared" si="11"/>
        <v>47</v>
      </c>
      <c r="P40" s="42">
        <v>15</v>
      </c>
      <c r="Q40" s="42"/>
      <c r="R40" s="42"/>
      <c r="S40" s="42"/>
      <c r="T40" s="53">
        <f t="shared" si="12"/>
        <v>15</v>
      </c>
      <c r="U40" s="42"/>
      <c r="V40" s="42"/>
      <c r="W40" s="42"/>
      <c r="X40" s="42"/>
      <c r="Y40" s="53">
        <f t="shared" si="13"/>
        <v>0</v>
      </c>
      <c r="Z40" s="15">
        <f t="shared" si="7"/>
        <v>62</v>
      </c>
      <c r="AA40" s="26">
        <f t="shared" si="10"/>
        <v>0.24603174603174602</v>
      </c>
      <c r="AB40" s="13"/>
      <c r="AJ40" s="1"/>
    </row>
    <row r="41" spans="2:36" ht="24" customHeight="1" x14ac:dyDescent="0.2">
      <c r="B41" s="5"/>
      <c r="C41" s="123"/>
      <c r="D41" s="124"/>
      <c r="E41" s="125"/>
      <c r="F41" s="21"/>
      <c r="G41" s="17" t="s">
        <v>64</v>
      </c>
      <c r="H41" s="12" t="s">
        <v>19</v>
      </c>
      <c r="I41" s="42">
        <v>113760</v>
      </c>
      <c r="J41" s="42">
        <f t="shared" si="8"/>
        <v>113760</v>
      </c>
      <c r="K41" s="42">
        <v>9213</v>
      </c>
      <c r="L41" s="42">
        <v>8833</v>
      </c>
      <c r="M41" s="42">
        <v>9882</v>
      </c>
      <c r="N41" s="42">
        <v>7079</v>
      </c>
      <c r="O41" s="53">
        <f t="shared" si="11"/>
        <v>35007</v>
      </c>
      <c r="P41" s="42">
        <v>9390</v>
      </c>
      <c r="Q41" s="42"/>
      <c r="R41" s="42"/>
      <c r="S41" s="42"/>
      <c r="T41" s="53">
        <f t="shared" si="12"/>
        <v>9390</v>
      </c>
      <c r="U41" s="42"/>
      <c r="V41" s="42"/>
      <c r="W41" s="42"/>
      <c r="X41" s="42"/>
      <c r="Y41" s="53">
        <f t="shared" si="13"/>
        <v>0</v>
      </c>
      <c r="Z41" s="15">
        <f t="shared" si="7"/>
        <v>44397</v>
      </c>
      <c r="AA41" s="26">
        <f t="shared" si="10"/>
        <v>0.39026898734177218</v>
      </c>
      <c r="AB41" s="13"/>
      <c r="AJ41" s="1"/>
    </row>
    <row r="42" spans="2:36" ht="24" customHeight="1" x14ac:dyDescent="0.2">
      <c r="B42" s="5"/>
      <c r="C42" s="123"/>
      <c r="D42" s="124"/>
      <c r="E42" s="125"/>
      <c r="F42" s="21"/>
      <c r="G42" s="45" t="s">
        <v>65</v>
      </c>
      <c r="H42" s="12" t="s">
        <v>66</v>
      </c>
      <c r="I42" s="42">
        <v>35592</v>
      </c>
      <c r="J42" s="42">
        <f t="shared" si="8"/>
        <v>35592</v>
      </c>
      <c r="K42" s="42">
        <v>2924</v>
      </c>
      <c r="L42" s="42">
        <v>2932</v>
      </c>
      <c r="M42" s="42">
        <v>3668</v>
      </c>
      <c r="N42" s="42">
        <v>2591</v>
      </c>
      <c r="O42" s="53">
        <f t="shared" si="11"/>
        <v>12115</v>
      </c>
      <c r="P42" s="42">
        <v>3323</v>
      </c>
      <c r="Q42" s="42"/>
      <c r="R42" s="42"/>
      <c r="S42" s="42"/>
      <c r="T42" s="53">
        <f t="shared" si="12"/>
        <v>3323</v>
      </c>
      <c r="U42" s="42"/>
      <c r="V42" s="42"/>
      <c r="W42" s="42"/>
      <c r="X42" s="42"/>
      <c r="Y42" s="53">
        <f t="shared" si="13"/>
        <v>0</v>
      </c>
      <c r="Z42" s="15">
        <f t="shared" si="7"/>
        <v>15438</v>
      </c>
      <c r="AA42" s="26">
        <f t="shared" si="10"/>
        <v>0.43374915711395817</v>
      </c>
      <c r="AB42" s="13"/>
      <c r="AJ42" s="1"/>
    </row>
    <row r="43" spans="2:36" ht="25.5" x14ac:dyDescent="0.2">
      <c r="B43" s="5"/>
      <c r="C43" s="123"/>
      <c r="D43" s="124"/>
      <c r="E43" s="125"/>
      <c r="F43" s="21"/>
      <c r="G43" s="45" t="s">
        <v>67</v>
      </c>
      <c r="H43" s="12" t="s">
        <v>19</v>
      </c>
      <c r="I43" s="42">
        <v>48</v>
      </c>
      <c r="J43" s="42">
        <f t="shared" si="8"/>
        <v>48</v>
      </c>
      <c r="K43" s="42">
        <v>2</v>
      </c>
      <c r="L43" s="42">
        <v>4</v>
      </c>
      <c r="M43" s="42">
        <v>7</v>
      </c>
      <c r="N43" s="42">
        <v>2</v>
      </c>
      <c r="O43" s="53">
        <f t="shared" si="11"/>
        <v>15</v>
      </c>
      <c r="P43" s="42">
        <v>8</v>
      </c>
      <c r="Q43" s="42"/>
      <c r="R43" s="42"/>
      <c r="S43" s="42"/>
      <c r="T43" s="53">
        <f t="shared" si="12"/>
        <v>8</v>
      </c>
      <c r="U43" s="42"/>
      <c r="V43" s="42"/>
      <c r="W43" s="42"/>
      <c r="X43" s="42"/>
      <c r="Y43" s="53">
        <f t="shared" si="13"/>
        <v>0</v>
      </c>
      <c r="Z43" s="15">
        <f t="shared" si="7"/>
        <v>23</v>
      </c>
      <c r="AA43" s="26">
        <f t="shared" si="10"/>
        <v>0.47916666666666669</v>
      </c>
      <c r="AB43" s="13"/>
      <c r="AJ43" s="1"/>
    </row>
    <row r="44" spans="2:36" ht="38.25" x14ac:dyDescent="0.2">
      <c r="B44" s="46"/>
      <c r="C44" s="71"/>
      <c r="D44" s="72"/>
      <c r="E44" s="73"/>
      <c r="F44" s="21"/>
      <c r="G44" s="47" t="s">
        <v>69</v>
      </c>
      <c r="H44" s="48" t="s">
        <v>66</v>
      </c>
      <c r="I44" s="42">
        <v>34740</v>
      </c>
      <c r="J44" s="42">
        <f t="shared" si="8"/>
        <v>34740</v>
      </c>
      <c r="K44" s="49">
        <v>0</v>
      </c>
      <c r="L44" s="49">
        <v>2855</v>
      </c>
      <c r="M44" s="49">
        <v>3598</v>
      </c>
      <c r="N44" s="49">
        <v>2602</v>
      </c>
      <c r="O44" s="53">
        <f t="shared" si="11"/>
        <v>9055</v>
      </c>
      <c r="P44" s="49">
        <v>3283</v>
      </c>
      <c r="Q44" s="49"/>
      <c r="R44" s="49"/>
      <c r="S44" s="49"/>
      <c r="T44" s="53">
        <f t="shared" si="12"/>
        <v>3283</v>
      </c>
      <c r="U44" s="49"/>
      <c r="V44" s="49"/>
      <c r="W44" s="49"/>
      <c r="X44" s="49"/>
      <c r="Y44" s="53">
        <f t="shared" si="13"/>
        <v>0</v>
      </c>
      <c r="Z44" s="15">
        <f t="shared" ref="Z44" si="14">SUM(O44+T44+Y44)</f>
        <v>12338</v>
      </c>
      <c r="AA44" s="26">
        <f t="shared" si="10"/>
        <v>0.35515256188831318</v>
      </c>
      <c r="AB44" s="13"/>
      <c r="AJ44" s="1"/>
    </row>
    <row r="45" spans="2:36" ht="26.25" customHeight="1" x14ac:dyDescent="0.3">
      <c r="B45" s="25"/>
      <c r="C45" s="134" t="s">
        <v>93</v>
      </c>
      <c r="D45" s="135"/>
      <c r="E45" s="135"/>
      <c r="F45" s="135"/>
      <c r="G45" s="135"/>
      <c r="H45" s="135"/>
      <c r="I45" s="135"/>
      <c r="J45" s="135"/>
      <c r="K45" s="135"/>
      <c r="L45" s="135"/>
      <c r="M45" s="135"/>
      <c r="N45" s="135"/>
      <c r="O45" s="135"/>
      <c r="P45" s="135"/>
      <c r="Q45" s="135"/>
      <c r="R45" s="135"/>
      <c r="S45" s="135"/>
      <c r="T45" s="135"/>
      <c r="U45" s="135"/>
      <c r="V45" s="135"/>
      <c r="W45" s="135"/>
      <c r="X45" s="135"/>
      <c r="Y45" s="135"/>
      <c r="Z45" s="135"/>
      <c r="AA45" s="135"/>
      <c r="AB45" s="135"/>
      <c r="AC45" s="2"/>
      <c r="AD45" s="2"/>
      <c r="AE45" s="2"/>
      <c r="AF45" s="2"/>
      <c r="AG45" s="2"/>
      <c r="AH45" s="2"/>
      <c r="AI45" s="2"/>
    </row>
    <row r="46" spans="2:36" x14ac:dyDescent="0.2">
      <c r="AB46" s="19"/>
    </row>
  </sheetData>
  <mergeCells count="58">
    <mergeCell ref="B8:D8"/>
    <mergeCell ref="E8:AB8"/>
    <mergeCell ref="B4:AB4"/>
    <mergeCell ref="B5:AB5"/>
    <mergeCell ref="B6:AB6"/>
    <mergeCell ref="B7:D7"/>
    <mergeCell ref="E7:AB7"/>
    <mergeCell ref="B15:E15"/>
    <mergeCell ref="F15:AB15"/>
    <mergeCell ref="B9:D9"/>
    <mergeCell ref="E9:AB9"/>
    <mergeCell ref="B10:D10"/>
    <mergeCell ref="E10:AB10"/>
    <mergeCell ref="B11:D11"/>
    <mergeCell ref="E11:AB11"/>
    <mergeCell ref="B12:AB12"/>
    <mergeCell ref="B13:E13"/>
    <mergeCell ref="F13:AB13"/>
    <mergeCell ref="B14:E14"/>
    <mergeCell ref="F14:AB14"/>
    <mergeCell ref="B19:B21"/>
    <mergeCell ref="C19:E21"/>
    <mergeCell ref="F19:F21"/>
    <mergeCell ref="G19:G21"/>
    <mergeCell ref="H19:H21"/>
    <mergeCell ref="B16:AB16"/>
    <mergeCell ref="B17:E17"/>
    <mergeCell ref="F17:AB17"/>
    <mergeCell ref="B18:E18"/>
    <mergeCell ref="F18:AB18"/>
    <mergeCell ref="K19:AB19"/>
    <mergeCell ref="K20:N20"/>
    <mergeCell ref="P20:S20"/>
    <mergeCell ref="U20:X20"/>
    <mergeCell ref="Z20:AA20"/>
    <mergeCell ref="C36:E36"/>
    <mergeCell ref="C37:E37"/>
    <mergeCell ref="C22:E22"/>
    <mergeCell ref="J19:J21"/>
    <mergeCell ref="I19:I21"/>
    <mergeCell ref="C31:E31"/>
    <mergeCell ref="C32:E32"/>
    <mergeCell ref="C33:E33"/>
    <mergeCell ref="C34:E34"/>
    <mergeCell ref="C35:E35"/>
    <mergeCell ref="C23:E23"/>
    <mergeCell ref="C24:E24"/>
    <mergeCell ref="C25:E25"/>
    <mergeCell ref="C29:E29"/>
    <mergeCell ref="C30:E30"/>
    <mergeCell ref="C26:E26"/>
    <mergeCell ref="C38:E38"/>
    <mergeCell ref="C39:E39"/>
    <mergeCell ref="C40:E40"/>
    <mergeCell ref="C41:E41"/>
    <mergeCell ref="C45:AB45"/>
    <mergeCell ref="C42:E42"/>
    <mergeCell ref="C43:E43"/>
  </mergeCells>
  <printOptions horizontalCentered="1" verticalCentered="1"/>
  <pageMargins left="0.19685039370078741" right="0.19685039370078741" top="0.19685039370078741" bottom="0.78740157480314965" header="0.39370078740157483" footer="0.39370078740157483"/>
  <pageSetup scale="44" orientation="landscape" r:id="rId1"/>
  <headerFooter>
    <oddFooter>&amp;C&amp;9PLAN OPERATIVO ANUAL, 2023&amp;R&amp;P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1E7BE-9821-48B7-A834-32251AA46739}">
  <dimension ref="A4:AJ46"/>
  <sheetViews>
    <sheetView showGridLines="0" view="pageBreakPreview" topLeftCell="A24" zoomScale="85" zoomScaleNormal="85" zoomScaleSheetLayoutView="85" workbookViewId="0">
      <selection activeCell="A27" sqref="A27:XFD44"/>
    </sheetView>
  </sheetViews>
  <sheetFormatPr baseColWidth="10" defaultColWidth="11.42578125" defaultRowHeight="12.75" x14ac:dyDescent="0.2"/>
  <cols>
    <col min="1" max="1" width="5.85546875" style="2" customWidth="1"/>
    <col min="2" max="2" width="4.28515625" style="2" customWidth="1"/>
    <col min="3" max="3" width="12.28515625" style="2" customWidth="1"/>
    <col min="4" max="4" width="1.42578125" style="2" customWidth="1"/>
    <col min="5" max="5" width="6.28515625" style="2" customWidth="1"/>
    <col min="6" max="6" width="21.5703125" style="2" customWidth="1"/>
    <col min="7" max="7" width="21" style="2" customWidth="1"/>
    <col min="8" max="8" width="10" style="2" customWidth="1"/>
    <col min="9" max="10" width="9.42578125" style="2" customWidth="1"/>
    <col min="11" max="11" width="6.7109375" style="2" bestFit="1" customWidth="1"/>
    <col min="12" max="12" width="8" style="2" customWidth="1"/>
    <col min="13" max="14" width="7.28515625" style="2" customWidth="1"/>
    <col min="15" max="15" width="16.5703125" style="50" customWidth="1"/>
    <col min="16" max="16" width="7" style="2" customWidth="1"/>
    <col min="17" max="17" width="8" style="2" customWidth="1"/>
    <col min="18" max="18" width="5.42578125" style="2" customWidth="1"/>
    <col min="19" max="19" width="7.85546875" style="2" customWidth="1"/>
    <col min="20" max="20" width="16.28515625" style="50" customWidth="1"/>
    <col min="21" max="21" width="5.5703125" style="2" customWidth="1"/>
    <col min="22" max="22" width="6.28515625" style="2" customWidth="1"/>
    <col min="23" max="23" width="6.140625" style="2" customWidth="1"/>
    <col min="24" max="24" width="5.5703125" style="2" customWidth="1"/>
    <col min="25" max="25" width="16.5703125" style="50" customWidth="1"/>
    <col min="26" max="26" width="14.28515625" style="2" customWidth="1"/>
    <col min="27" max="27" width="14.7109375" style="2" customWidth="1"/>
    <col min="28" max="28" width="18.85546875" style="2" customWidth="1"/>
    <col min="29" max="29" width="20.5703125" style="1" customWidth="1"/>
    <col min="30" max="35" width="11.42578125" style="1"/>
    <col min="36" max="16384" width="11.42578125" style="2"/>
  </cols>
  <sheetData>
    <row r="4" spans="1:35" ht="52.5" customHeight="1" x14ac:dyDescent="0.2">
      <c r="B4" s="86" t="s">
        <v>89</v>
      </c>
      <c r="C4" s="86"/>
      <c r="D4" s="86"/>
      <c r="E4" s="86"/>
      <c r="F4" s="86"/>
      <c r="G4" s="86"/>
      <c r="H4" s="86"/>
      <c r="I4" s="86"/>
      <c r="J4" s="86"/>
      <c r="K4" s="86"/>
      <c r="L4" s="86"/>
      <c r="M4" s="86"/>
      <c r="N4" s="86"/>
      <c r="O4" s="86"/>
      <c r="P4" s="86"/>
      <c r="Q4" s="86"/>
      <c r="R4" s="86"/>
      <c r="S4" s="86"/>
      <c r="T4" s="86"/>
      <c r="U4" s="86"/>
      <c r="V4" s="86"/>
      <c r="W4" s="86"/>
      <c r="X4" s="86"/>
      <c r="Y4" s="86"/>
      <c r="Z4" s="86"/>
      <c r="AA4" s="86"/>
      <c r="AB4" s="86"/>
    </row>
    <row r="5" spans="1:35" ht="26.25" customHeight="1" x14ac:dyDescent="0.2">
      <c r="B5" s="87" t="s">
        <v>76</v>
      </c>
      <c r="C5" s="88"/>
      <c r="D5" s="88"/>
      <c r="E5" s="88"/>
      <c r="F5" s="88"/>
      <c r="G5" s="88"/>
      <c r="H5" s="88"/>
      <c r="I5" s="88"/>
      <c r="J5" s="88"/>
      <c r="K5" s="88"/>
      <c r="L5" s="88"/>
      <c r="M5" s="88"/>
      <c r="N5" s="88"/>
      <c r="O5" s="88"/>
      <c r="P5" s="88"/>
      <c r="Q5" s="88"/>
      <c r="R5" s="88"/>
      <c r="S5" s="88"/>
      <c r="T5" s="88"/>
      <c r="U5" s="88"/>
      <c r="V5" s="88"/>
      <c r="W5" s="88"/>
      <c r="X5" s="88"/>
      <c r="Y5" s="88"/>
      <c r="Z5" s="88"/>
      <c r="AA5" s="88"/>
      <c r="AB5" s="88"/>
    </row>
    <row r="6" spans="1:35" ht="26.45" customHeight="1" x14ac:dyDescent="0.2">
      <c r="B6" s="87" t="s">
        <v>94</v>
      </c>
      <c r="C6" s="88"/>
      <c r="D6" s="88"/>
      <c r="E6" s="88"/>
      <c r="F6" s="88"/>
      <c r="G6" s="88"/>
      <c r="H6" s="88"/>
      <c r="I6" s="88"/>
      <c r="J6" s="88"/>
      <c r="K6" s="88"/>
      <c r="L6" s="88"/>
      <c r="M6" s="88"/>
      <c r="N6" s="88"/>
      <c r="O6" s="88"/>
      <c r="P6" s="88"/>
      <c r="Q6" s="88"/>
      <c r="R6" s="88"/>
      <c r="S6" s="88"/>
      <c r="T6" s="88"/>
      <c r="U6" s="88"/>
      <c r="V6" s="88"/>
      <c r="W6" s="88"/>
      <c r="X6" s="88"/>
      <c r="Y6" s="88"/>
      <c r="Z6" s="88"/>
      <c r="AA6" s="88"/>
      <c r="AB6" s="88"/>
    </row>
    <row r="7" spans="1:35" s="4" customFormat="1" ht="19.5" hidden="1" customHeight="1" x14ac:dyDescent="0.2">
      <c r="A7" s="3"/>
      <c r="B7" s="82" t="s">
        <v>44</v>
      </c>
      <c r="C7" s="82"/>
      <c r="D7" s="82"/>
      <c r="E7" s="90" t="s">
        <v>0</v>
      </c>
      <c r="F7" s="90"/>
      <c r="G7" s="90"/>
      <c r="H7" s="90"/>
      <c r="I7" s="90"/>
      <c r="J7" s="90"/>
      <c r="K7" s="90"/>
      <c r="L7" s="90"/>
      <c r="M7" s="90"/>
      <c r="N7" s="90"/>
      <c r="O7" s="90"/>
      <c r="P7" s="90"/>
      <c r="Q7" s="90"/>
      <c r="R7" s="90"/>
      <c r="S7" s="90"/>
      <c r="T7" s="90"/>
      <c r="U7" s="90"/>
      <c r="V7" s="90"/>
      <c r="W7" s="90"/>
      <c r="X7" s="90"/>
      <c r="Y7" s="90"/>
      <c r="Z7" s="90"/>
      <c r="AA7" s="90"/>
      <c r="AB7" s="90"/>
      <c r="AC7" s="3"/>
      <c r="AD7" s="3"/>
      <c r="AE7" s="3"/>
      <c r="AF7" s="3"/>
      <c r="AG7" s="3"/>
      <c r="AH7" s="3"/>
      <c r="AI7" s="3"/>
    </row>
    <row r="8" spans="1:35" s="4" customFormat="1" ht="19.5" hidden="1" customHeight="1" x14ac:dyDescent="0.2">
      <c r="A8" s="3"/>
      <c r="B8" s="82" t="s">
        <v>45</v>
      </c>
      <c r="C8" s="82"/>
      <c r="D8" s="82"/>
      <c r="E8" s="83" t="s">
        <v>1</v>
      </c>
      <c r="F8" s="84"/>
      <c r="G8" s="84"/>
      <c r="H8" s="84"/>
      <c r="I8" s="84"/>
      <c r="J8" s="84"/>
      <c r="K8" s="84"/>
      <c r="L8" s="84"/>
      <c r="M8" s="84"/>
      <c r="N8" s="84"/>
      <c r="O8" s="84"/>
      <c r="P8" s="84"/>
      <c r="Q8" s="84"/>
      <c r="R8" s="84"/>
      <c r="S8" s="84"/>
      <c r="T8" s="84"/>
      <c r="U8" s="84"/>
      <c r="V8" s="84"/>
      <c r="W8" s="84"/>
      <c r="X8" s="84"/>
      <c r="Y8" s="84"/>
      <c r="Z8" s="84"/>
      <c r="AA8" s="84"/>
      <c r="AB8" s="84"/>
      <c r="AC8" s="3"/>
      <c r="AD8" s="3"/>
      <c r="AE8" s="3"/>
      <c r="AF8" s="3"/>
      <c r="AG8" s="3"/>
      <c r="AH8" s="3"/>
      <c r="AI8" s="3"/>
    </row>
    <row r="9" spans="1:35" s="3" customFormat="1" ht="32.25" hidden="1" customHeight="1" x14ac:dyDescent="0.2">
      <c r="B9" s="96" t="s">
        <v>46</v>
      </c>
      <c r="C9" s="96"/>
      <c r="D9" s="96"/>
      <c r="E9" s="97" t="s">
        <v>27</v>
      </c>
      <c r="F9" s="97"/>
      <c r="G9" s="97"/>
      <c r="H9" s="97"/>
      <c r="I9" s="97"/>
      <c r="J9" s="97"/>
      <c r="K9" s="97"/>
      <c r="L9" s="97"/>
      <c r="M9" s="97"/>
      <c r="N9" s="97"/>
      <c r="O9" s="97"/>
      <c r="P9" s="97"/>
      <c r="Q9" s="97"/>
      <c r="R9" s="97"/>
      <c r="S9" s="97"/>
      <c r="T9" s="97"/>
      <c r="U9" s="97"/>
      <c r="V9" s="97"/>
      <c r="W9" s="97"/>
      <c r="X9" s="97"/>
      <c r="Y9" s="97"/>
      <c r="Z9" s="97"/>
      <c r="AA9" s="97"/>
      <c r="AB9" s="97"/>
    </row>
    <row r="10" spans="1:35" s="3" customFormat="1" ht="147" hidden="1" customHeight="1" x14ac:dyDescent="0.2">
      <c r="B10" s="82" t="s">
        <v>2</v>
      </c>
      <c r="C10" s="82"/>
      <c r="D10" s="82"/>
      <c r="E10" s="98" t="s">
        <v>51</v>
      </c>
      <c r="F10" s="98"/>
      <c r="G10" s="98"/>
      <c r="H10" s="98"/>
      <c r="I10" s="98"/>
      <c r="J10" s="98"/>
      <c r="K10" s="98"/>
      <c r="L10" s="98"/>
      <c r="M10" s="98"/>
      <c r="N10" s="98"/>
      <c r="O10" s="98"/>
      <c r="P10" s="98"/>
      <c r="Q10" s="98"/>
      <c r="R10" s="98"/>
      <c r="S10" s="98"/>
      <c r="T10" s="98"/>
      <c r="U10" s="98"/>
      <c r="V10" s="98"/>
      <c r="W10" s="98"/>
      <c r="X10" s="98"/>
      <c r="Y10" s="98"/>
      <c r="Z10" s="98"/>
      <c r="AA10" s="98"/>
      <c r="AB10" s="98"/>
    </row>
    <row r="11" spans="1:35" ht="29.25" hidden="1" customHeight="1" x14ac:dyDescent="0.2">
      <c r="B11" s="82" t="s">
        <v>28</v>
      </c>
      <c r="C11" s="82"/>
      <c r="D11" s="82"/>
      <c r="E11" s="90" t="s">
        <v>52</v>
      </c>
      <c r="F11" s="90"/>
      <c r="G11" s="90"/>
      <c r="H11" s="90"/>
      <c r="I11" s="90"/>
      <c r="J11" s="90"/>
      <c r="K11" s="90"/>
      <c r="L11" s="90"/>
      <c r="M11" s="90"/>
      <c r="N11" s="90"/>
      <c r="O11" s="90"/>
      <c r="P11" s="90"/>
      <c r="Q11" s="90"/>
      <c r="R11" s="90"/>
      <c r="S11" s="90"/>
      <c r="T11" s="90"/>
      <c r="U11" s="90"/>
      <c r="V11" s="90"/>
      <c r="W11" s="90"/>
      <c r="X11" s="90"/>
      <c r="Y11" s="90"/>
      <c r="Z11" s="90"/>
      <c r="AA11" s="90"/>
      <c r="AB11" s="90"/>
    </row>
    <row r="12" spans="1:35" ht="24" customHeight="1" x14ac:dyDescent="0.2">
      <c r="B12" s="91" t="s">
        <v>48</v>
      </c>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2"/>
      <c r="AD12" s="2"/>
      <c r="AE12" s="2"/>
      <c r="AF12" s="2"/>
      <c r="AG12" s="2"/>
      <c r="AH12" s="2"/>
      <c r="AI12" s="2"/>
    </row>
    <row r="13" spans="1:35" s="9" customFormat="1" ht="24" customHeight="1" x14ac:dyDescent="0.2">
      <c r="B13" s="139" t="s">
        <v>39</v>
      </c>
      <c r="C13" s="139"/>
      <c r="D13" s="139"/>
      <c r="E13" s="139"/>
      <c r="F13" s="99" t="s">
        <v>47</v>
      </c>
      <c r="G13" s="100"/>
      <c r="H13" s="100"/>
      <c r="I13" s="100"/>
      <c r="J13" s="100"/>
      <c r="K13" s="100"/>
      <c r="L13" s="100"/>
      <c r="M13" s="100"/>
      <c r="N13" s="100"/>
      <c r="O13" s="100"/>
      <c r="P13" s="100"/>
      <c r="Q13" s="100"/>
      <c r="R13" s="100"/>
      <c r="S13" s="100"/>
      <c r="T13" s="100"/>
      <c r="U13" s="100"/>
      <c r="V13" s="100"/>
      <c r="W13" s="100"/>
      <c r="X13" s="100"/>
      <c r="Y13" s="100"/>
      <c r="Z13" s="100"/>
      <c r="AA13" s="100"/>
      <c r="AB13" s="100"/>
    </row>
    <row r="14" spans="1:35" s="9" customFormat="1" ht="36.75" customHeight="1" x14ac:dyDescent="0.2">
      <c r="B14" s="139" t="s">
        <v>29</v>
      </c>
      <c r="C14" s="139"/>
      <c r="D14" s="139"/>
      <c r="E14" s="139"/>
      <c r="F14" s="83" t="s">
        <v>77</v>
      </c>
      <c r="G14" s="84"/>
      <c r="H14" s="84"/>
      <c r="I14" s="84"/>
      <c r="J14" s="84"/>
      <c r="K14" s="84"/>
      <c r="L14" s="84"/>
      <c r="M14" s="84"/>
      <c r="N14" s="84"/>
      <c r="O14" s="84"/>
      <c r="P14" s="84"/>
      <c r="Q14" s="84"/>
      <c r="R14" s="84"/>
      <c r="S14" s="84"/>
      <c r="T14" s="84"/>
      <c r="U14" s="84"/>
      <c r="V14" s="84"/>
      <c r="W14" s="84"/>
      <c r="X14" s="84"/>
      <c r="Y14" s="84"/>
      <c r="Z14" s="84"/>
      <c r="AA14" s="84"/>
      <c r="AB14" s="84"/>
    </row>
    <row r="15" spans="1:35" s="9" customFormat="1" ht="23.25" customHeight="1" x14ac:dyDescent="0.2">
      <c r="B15" s="93" t="s">
        <v>49</v>
      </c>
      <c r="C15" s="94"/>
      <c r="D15" s="94"/>
      <c r="E15" s="95"/>
      <c r="F15" s="102" t="s">
        <v>50</v>
      </c>
      <c r="G15" s="103"/>
      <c r="H15" s="103"/>
      <c r="I15" s="103"/>
      <c r="J15" s="103"/>
      <c r="K15" s="103"/>
      <c r="L15" s="103"/>
      <c r="M15" s="103"/>
      <c r="N15" s="103"/>
      <c r="O15" s="103"/>
      <c r="P15" s="103"/>
      <c r="Q15" s="103"/>
      <c r="R15" s="103"/>
      <c r="S15" s="103"/>
      <c r="T15" s="103"/>
      <c r="U15" s="103"/>
      <c r="V15" s="103"/>
      <c r="W15" s="103"/>
      <c r="X15" s="103"/>
      <c r="Y15" s="103"/>
      <c r="Z15" s="103"/>
      <c r="AA15" s="103"/>
      <c r="AB15" s="103"/>
    </row>
    <row r="16" spans="1:35" s="9" customFormat="1" ht="21" customHeight="1" x14ac:dyDescent="0.2">
      <c r="B16" s="118" t="s">
        <v>42</v>
      </c>
      <c r="C16" s="118"/>
      <c r="D16" s="118"/>
      <c r="E16" s="118"/>
      <c r="F16" s="118"/>
      <c r="G16" s="118"/>
      <c r="H16" s="118"/>
      <c r="I16" s="118"/>
      <c r="J16" s="118"/>
      <c r="K16" s="118"/>
      <c r="L16" s="118"/>
      <c r="M16" s="118"/>
      <c r="N16" s="118"/>
      <c r="O16" s="118"/>
      <c r="P16" s="118"/>
      <c r="Q16" s="118"/>
      <c r="R16" s="118"/>
      <c r="S16" s="118"/>
      <c r="T16" s="118"/>
      <c r="U16" s="118"/>
      <c r="V16" s="118"/>
      <c r="W16" s="118"/>
      <c r="X16" s="118"/>
      <c r="Y16" s="118"/>
      <c r="Z16" s="118"/>
      <c r="AA16" s="118"/>
      <c r="AB16" s="118"/>
    </row>
    <row r="17" spans="2:36" s="9" customFormat="1" ht="36" customHeight="1" x14ac:dyDescent="0.2">
      <c r="B17" s="119" t="s">
        <v>40</v>
      </c>
      <c r="C17" s="119"/>
      <c r="D17" s="119"/>
      <c r="E17" s="119"/>
      <c r="F17" s="120" t="s">
        <v>70</v>
      </c>
      <c r="G17" s="121"/>
      <c r="H17" s="121"/>
      <c r="I17" s="121"/>
      <c r="J17" s="121"/>
      <c r="K17" s="121"/>
      <c r="L17" s="121"/>
      <c r="M17" s="121"/>
      <c r="N17" s="121"/>
      <c r="O17" s="121"/>
      <c r="P17" s="121"/>
      <c r="Q17" s="121"/>
      <c r="R17" s="121"/>
      <c r="S17" s="121"/>
      <c r="T17" s="121"/>
      <c r="U17" s="121"/>
      <c r="V17" s="121"/>
      <c r="W17" s="121"/>
      <c r="X17" s="121"/>
      <c r="Y17" s="121"/>
      <c r="Z17" s="121"/>
      <c r="AA17" s="121"/>
      <c r="AB17" s="121"/>
    </row>
    <row r="18" spans="2:36" s="9" customFormat="1" ht="17.25" customHeight="1" x14ac:dyDescent="0.2">
      <c r="B18" s="119" t="s">
        <v>41</v>
      </c>
      <c r="C18" s="119"/>
      <c r="D18" s="119"/>
      <c r="E18" s="119"/>
      <c r="F18" s="120" t="s">
        <v>88</v>
      </c>
      <c r="G18" s="121"/>
      <c r="H18" s="121"/>
      <c r="I18" s="121"/>
      <c r="J18" s="121"/>
      <c r="K18" s="121"/>
      <c r="L18" s="121"/>
      <c r="M18" s="121"/>
      <c r="N18" s="121"/>
      <c r="O18" s="121"/>
      <c r="P18" s="121"/>
      <c r="Q18" s="121"/>
      <c r="R18" s="121"/>
      <c r="S18" s="121"/>
      <c r="T18" s="121"/>
      <c r="U18" s="121"/>
      <c r="V18" s="121"/>
      <c r="W18" s="121"/>
      <c r="X18" s="121"/>
      <c r="Y18" s="121"/>
      <c r="Z18" s="121"/>
      <c r="AA18" s="121"/>
      <c r="AB18" s="121"/>
    </row>
    <row r="19" spans="2:36" ht="19.149999999999999" customHeight="1" x14ac:dyDescent="0.2">
      <c r="B19" s="105"/>
      <c r="C19" s="108" t="s">
        <v>30</v>
      </c>
      <c r="D19" s="109"/>
      <c r="E19" s="110"/>
      <c r="F19" s="114" t="s">
        <v>31</v>
      </c>
      <c r="G19" s="116" t="s">
        <v>4</v>
      </c>
      <c r="H19" s="114" t="s">
        <v>3</v>
      </c>
      <c r="I19" s="130" t="s">
        <v>92</v>
      </c>
      <c r="J19" s="130" t="s">
        <v>32</v>
      </c>
      <c r="K19" s="131" t="s">
        <v>95</v>
      </c>
      <c r="L19" s="131"/>
      <c r="M19" s="131"/>
      <c r="N19" s="131"/>
      <c r="O19" s="131"/>
      <c r="P19" s="131"/>
      <c r="Q19" s="131"/>
      <c r="R19" s="131"/>
      <c r="S19" s="131"/>
      <c r="T19" s="131"/>
      <c r="U19" s="131"/>
      <c r="V19" s="131"/>
      <c r="W19" s="131"/>
      <c r="X19" s="131"/>
      <c r="Y19" s="131"/>
      <c r="Z19" s="131"/>
      <c r="AA19" s="131"/>
      <c r="AB19" s="131"/>
    </row>
    <row r="20" spans="2:36" ht="27" customHeight="1" x14ac:dyDescent="0.2">
      <c r="B20" s="106"/>
      <c r="C20" s="108"/>
      <c r="D20" s="109"/>
      <c r="E20" s="110"/>
      <c r="F20" s="115"/>
      <c r="G20" s="116"/>
      <c r="H20" s="115"/>
      <c r="I20" s="130"/>
      <c r="J20" s="130"/>
      <c r="K20" s="132"/>
      <c r="L20" s="132"/>
      <c r="M20" s="132"/>
      <c r="N20" s="132"/>
      <c r="O20" s="81"/>
      <c r="P20" s="132"/>
      <c r="Q20" s="132"/>
      <c r="R20" s="132"/>
      <c r="S20" s="132"/>
      <c r="T20" s="81"/>
      <c r="U20" s="132"/>
      <c r="V20" s="132"/>
      <c r="W20" s="132"/>
      <c r="X20" s="132"/>
      <c r="Y20" s="81"/>
      <c r="Z20" s="133" t="s">
        <v>5</v>
      </c>
      <c r="AA20" s="133"/>
      <c r="AB20" s="27"/>
    </row>
    <row r="21" spans="2:36" ht="62.45" customHeight="1" x14ac:dyDescent="0.2">
      <c r="B21" s="107"/>
      <c r="C21" s="111"/>
      <c r="D21" s="112"/>
      <c r="E21" s="113"/>
      <c r="F21" s="115"/>
      <c r="G21" s="117"/>
      <c r="H21" s="115"/>
      <c r="I21" s="114"/>
      <c r="J21" s="114"/>
      <c r="K21" s="6" t="s">
        <v>6</v>
      </c>
      <c r="L21" s="6" t="s">
        <v>7</v>
      </c>
      <c r="M21" s="6" t="s">
        <v>8</v>
      </c>
      <c r="N21" s="6" t="s">
        <v>9</v>
      </c>
      <c r="O21" s="52" t="s">
        <v>38</v>
      </c>
      <c r="P21" s="7" t="s">
        <v>10</v>
      </c>
      <c r="Q21" s="7" t="s">
        <v>11</v>
      </c>
      <c r="R21" s="7" t="s">
        <v>12</v>
      </c>
      <c r="S21" s="7" t="s">
        <v>13</v>
      </c>
      <c r="T21" s="52" t="s">
        <v>36</v>
      </c>
      <c r="U21" s="77" t="s">
        <v>14</v>
      </c>
      <c r="V21" s="77" t="s">
        <v>15</v>
      </c>
      <c r="W21" s="77" t="s">
        <v>16</v>
      </c>
      <c r="X21" s="77" t="s">
        <v>17</v>
      </c>
      <c r="Y21" s="52" t="s">
        <v>37</v>
      </c>
      <c r="Z21" s="23" t="s">
        <v>33</v>
      </c>
      <c r="AA21" s="23" t="s">
        <v>34</v>
      </c>
      <c r="AB21" s="23" t="s">
        <v>86</v>
      </c>
      <c r="AC21" s="8"/>
    </row>
    <row r="22" spans="2:36" ht="106.9" customHeight="1" x14ac:dyDescent="0.2">
      <c r="B22" s="5"/>
      <c r="C22" s="128" t="s">
        <v>20</v>
      </c>
      <c r="D22" s="129"/>
      <c r="E22" s="129"/>
      <c r="F22" s="16"/>
      <c r="G22" s="11"/>
      <c r="H22" s="10" t="s">
        <v>18</v>
      </c>
      <c r="I22" s="18">
        <v>90888</v>
      </c>
      <c r="J22" s="18">
        <f>'[1]MATRIZ 2023. (2)'!$K$22+5054</f>
        <v>128895</v>
      </c>
      <c r="K22" s="18">
        <f>4707+932+2438+1347+5915</f>
        <v>15339</v>
      </c>
      <c r="L22" s="18">
        <f>+L24+L25+L26</f>
        <v>16490</v>
      </c>
      <c r="M22" s="15">
        <f>+M24+M25+M26</f>
        <v>18297</v>
      </c>
      <c r="N22" s="18">
        <f>SUM(N24:N26)</f>
        <v>12840</v>
      </c>
      <c r="O22" s="53">
        <f>SUM(K22:N22)</f>
        <v>62966</v>
      </c>
      <c r="P22" s="18"/>
      <c r="Q22" s="18"/>
      <c r="R22" s="18"/>
      <c r="S22" s="18"/>
      <c r="T22" s="53">
        <f>SUM(P22:S22)</f>
        <v>0</v>
      </c>
      <c r="U22" s="18"/>
      <c r="V22" s="18"/>
      <c r="W22" s="18"/>
      <c r="X22" s="18"/>
      <c r="Y22" s="53">
        <f>SUM(U22:X22)</f>
        <v>0</v>
      </c>
      <c r="Z22" s="15">
        <f>SUM(O22+T22+Y22)</f>
        <v>62966</v>
      </c>
      <c r="AA22" s="26">
        <f>SUM(Z22/J22)</f>
        <v>0.48850614841537687</v>
      </c>
      <c r="AB22" s="13">
        <v>42972820</v>
      </c>
    </row>
    <row r="23" spans="2:36" ht="81" customHeight="1" x14ac:dyDescent="0.2">
      <c r="B23" s="5"/>
      <c r="C23" s="123"/>
      <c r="D23" s="124"/>
      <c r="E23" s="125"/>
      <c r="F23" s="16" t="s">
        <v>21</v>
      </c>
      <c r="G23" s="11"/>
      <c r="H23" s="12" t="s">
        <v>18</v>
      </c>
      <c r="I23" s="18">
        <v>90888</v>
      </c>
      <c r="J23" s="18">
        <f>'[1]MATRIZ 2023. (2)'!$K$22+5054</f>
        <v>128895</v>
      </c>
      <c r="K23" s="18">
        <f>4707+932+2438+1347+5915</f>
        <v>15339</v>
      </c>
      <c r="L23" s="18">
        <f>+L24+L25+L26</f>
        <v>16490</v>
      </c>
      <c r="M23" s="15">
        <f>SUM(M24:M26)</f>
        <v>18297</v>
      </c>
      <c r="N23" s="15">
        <f>SUM(N24:N26)</f>
        <v>12840</v>
      </c>
      <c r="O23" s="53">
        <f>SUM(K23:N23)</f>
        <v>62966</v>
      </c>
      <c r="P23" s="15"/>
      <c r="Q23" s="15"/>
      <c r="R23" s="15"/>
      <c r="S23" s="15"/>
      <c r="T23" s="53">
        <f>SUM(P23:S23)</f>
        <v>0</v>
      </c>
      <c r="U23" s="15"/>
      <c r="V23" s="15"/>
      <c r="W23" s="15"/>
      <c r="X23" s="15"/>
      <c r="Y23" s="53">
        <f>SUM(U23:X23)</f>
        <v>0</v>
      </c>
      <c r="Z23" s="15">
        <f>SUM(O23+T23+Y23)</f>
        <v>62966</v>
      </c>
      <c r="AA23" s="26">
        <f t="shared" ref="AA23:AA26" si="0">SUM(Z23/J23)</f>
        <v>0.48850614841537687</v>
      </c>
      <c r="AB23" s="13">
        <f>+AB22</f>
        <v>42972820</v>
      </c>
    </row>
    <row r="24" spans="2:36" ht="38.25" x14ac:dyDescent="0.2">
      <c r="B24" s="5"/>
      <c r="C24" s="123"/>
      <c r="D24" s="124"/>
      <c r="E24" s="125"/>
      <c r="F24" s="21"/>
      <c r="G24" s="17" t="s">
        <v>90</v>
      </c>
      <c r="H24" s="12" t="s">
        <v>18</v>
      </c>
      <c r="I24" s="18">
        <v>9216</v>
      </c>
      <c r="J24" s="18">
        <f>'[1]MATRIZ 2023. (2)'!$K$24+513</f>
        <v>13070</v>
      </c>
      <c r="K24" s="15">
        <f>932+1347</f>
        <v>2279</v>
      </c>
      <c r="L24" s="15">
        <f>648+1022</f>
        <v>1670</v>
      </c>
      <c r="M24" s="15">
        <f>792+1346</f>
        <v>2138</v>
      </c>
      <c r="N24" s="15">
        <f>757+1085</f>
        <v>1842</v>
      </c>
      <c r="O24" s="53">
        <f>SUM(K24:N24)</f>
        <v>7929</v>
      </c>
      <c r="P24" s="15">
        <f>968+1445</f>
        <v>2413</v>
      </c>
      <c r="Q24" s="15"/>
      <c r="R24" s="15"/>
      <c r="S24" s="15"/>
      <c r="T24" s="53">
        <f>SUM(P24:S24)</f>
        <v>2413</v>
      </c>
      <c r="U24" s="15"/>
      <c r="V24" s="15"/>
      <c r="W24" s="15"/>
      <c r="X24" s="15"/>
      <c r="Y24" s="53">
        <f>SUM(U24:X24)</f>
        <v>0</v>
      </c>
      <c r="Z24" s="15">
        <f>Y24+T24+O24</f>
        <v>10342</v>
      </c>
      <c r="AA24" s="26">
        <f t="shared" si="0"/>
        <v>0.79127773527161438</v>
      </c>
      <c r="AB24" s="13"/>
    </row>
    <row r="25" spans="2:36" ht="25.5" x14ac:dyDescent="0.2">
      <c r="B25" s="5"/>
      <c r="C25" s="123"/>
      <c r="D25" s="124"/>
      <c r="E25" s="125"/>
      <c r="F25" s="21"/>
      <c r="G25" s="17" t="s">
        <v>23</v>
      </c>
      <c r="H25" s="12" t="s">
        <v>18</v>
      </c>
      <c r="I25" s="18">
        <v>28488</v>
      </c>
      <c r="J25" s="18">
        <f>'[1]MATRIZ 2023. (2)'!$K$25+1584</f>
        <v>40401</v>
      </c>
      <c r="K25" s="15">
        <v>2438</v>
      </c>
      <c r="L25" s="15">
        <v>3047</v>
      </c>
      <c r="M25" s="15">
        <v>3271</v>
      </c>
      <c r="N25" s="15">
        <v>2038</v>
      </c>
      <c r="O25" s="53">
        <f t="shared" ref="O25:O26" si="1">SUM(K25:N25)</f>
        <v>10794</v>
      </c>
      <c r="P25" s="15">
        <v>2765</v>
      </c>
      <c r="Q25" s="15"/>
      <c r="R25" s="15"/>
      <c r="S25" s="15"/>
      <c r="T25" s="53">
        <f t="shared" ref="T25:T26" si="2">SUM(P25:S25)</f>
        <v>2765</v>
      </c>
      <c r="U25" s="15"/>
      <c r="V25" s="15"/>
      <c r="W25" s="15"/>
      <c r="X25" s="15"/>
      <c r="Y25" s="53">
        <f t="shared" ref="Y25:Y26" si="3">SUM(U25:X25)</f>
        <v>0</v>
      </c>
      <c r="Z25" s="15">
        <f t="shared" ref="Z25:Z26" si="4">Y25+T25+O25</f>
        <v>13559</v>
      </c>
      <c r="AA25" s="26">
        <f t="shared" si="0"/>
        <v>0.33561050469047798</v>
      </c>
      <c r="AB25" s="13"/>
    </row>
    <row r="26" spans="2:36" ht="39" thickBot="1" x14ac:dyDescent="0.25">
      <c r="B26" s="5"/>
      <c r="C26" s="123"/>
      <c r="D26" s="124"/>
      <c r="E26" s="125"/>
      <c r="F26" s="21"/>
      <c r="G26" s="75" t="s">
        <v>91</v>
      </c>
      <c r="H26" s="12" t="s">
        <v>18</v>
      </c>
      <c r="I26" s="76">
        <v>53184</v>
      </c>
      <c r="J26" s="18">
        <f>'[1]MATRIZ 2023. (2)'!$K$26+2957</f>
        <v>75424</v>
      </c>
      <c r="K26" s="15">
        <f>4707+5915</f>
        <v>10622</v>
      </c>
      <c r="L26" s="15">
        <f>5220+6553</f>
        <v>11773</v>
      </c>
      <c r="M26" s="15">
        <f>5639+7249</f>
        <v>12888</v>
      </c>
      <c r="N26" s="15">
        <f>3976+4984</f>
        <v>8960</v>
      </c>
      <c r="O26" s="53">
        <f t="shared" si="1"/>
        <v>44243</v>
      </c>
      <c r="P26" s="15">
        <f>5220+6602</f>
        <v>11822</v>
      </c>
      <c r="Q26" s="15"/>
      <c r="R26" s="15"/>
      <c r="S26" s="15"/>
      <c r="T26" s="53">
        <f t="shared" si="2"/>
        <v>11822</v>
      </c>
      <c r="U26" s="15"/>
      <c r="V26" s="15"/>
      <c r="W26" s="15"/>
      <c r="X26" s="15"/>
      <c r="Y26" s="53">
        <f t="shared" si="3"/>
        <v>0</v>
      </c>
      <c r="Z26" s="15">
        <f t="shared" si="4"/>
        <v>56065</v>
      </c>
      <c r="AA26" s="26">
        <f t="shared" si="0"/>
        <v>0.74333103521425536</v>
      </c>
      <c r="AB26" s="13"/>
    </row>
    <row r="27" spans="2:36" ht="24" customHeight="1" thickTop="1" x14ac:dyDescent="0.2">
      <c r="B27" s="5"/>
      <c r="C27" s="78"/>
      <c r="D27" s="79"/>
      <c r="E27" s="80"/>
      <c r="F27" s="21"/>
      <c r="G27" s="17"/>
      <c r="H27" s="12"/>
      <c r="I27" s="18"/>
      <c r="J27" s="18"/>
      <c r="K27" s="15"/>
      <c r="L27" s="15"/>
      <c r="M27" s="15"/>
      <c r="N27" s="15"/>
      <c r="O27" s="53"/>
      <c r="P27" s="15"/>
      <c r="Q27" s="15"/>
      <c r="R27" s="15"/>
      <c r="S27" s="15"/>
      <c r="T27" s="53"/>
      <c r="U27" s="15"/>
      <c r="V27" s="15"/>
      <c r="W27" s="15"/>
      <c r="X27" s="15"/>
      <c r="Y27" s="53"/>
      <c r="Z27" s="15"/>
      <c r="AA27" s="26"/>
      <c r="AB27" s="13"/>
    </row>
    <row r="28" spans="2:36" ht="24" customHeight="1" x14ac:dyDescent="0.2">
      <c r="B28" s="5"/>
      <c r="C28" s="78"/>
      <c r="D28" s="79"/>
      <c r="E28" s="80"/>
      <c r="F28" s="21"/>
      <c r="G28" s="17"/>
      <c r="H28" s="12"/>
      <c r="I28" s="18"/>
      <c r="J28" s="18"/>
      <c r="K28" s="15"/>
      <c r="L28" s="15"/>
      <c r="M28" s="15"/>
      <c r="N28" s="15"/>
      <c r="O28" s="53"/>
      <c r="P28" s="15"/>
      <c r="Q28" s="15"/>
      <c r="R28" s="15"/>
      <c r="S28" s="15"/>
      <c r="T28" s="53"/>
      <c r="U28" s="15"/>
      <c r="V28" s="15"/>
      <c r="W28" s="15"/>
      <c r="X28" s="15"/>
      <c r="Y28" s="53"/>
      <c r="Z28" s="15"/>
      <c r="AA28" s="26"/>
      <c r="AB28" s="13"/>
    </row>
    <row r="29" spans="2:36" ht="25.5" x14ac:dyDescent="0.2">
      <c r="B29" s="5"/>
      <c r="C29" s="123"/>
      <c r="D29" s="124"/>
      <c r="E29" s="125"/>
      <c r="F29" s="21"/>
      <c r="G29" s="41" t="s">
        <v>54</v>
      </c>
      <c r="H29" s="12" t="s">
        <v>19</v>
      </c>
      <c r="I29" s="42">
        <v>6</v>
      </c>
      <c r="J29" s="42">
        <f>I29</f>
        <v>6</v>
      </c>
      <c r="K29" s="42">
        <v>0</v>
      </c>
      <c r="L29" s="42">
        <v>1</v>
      </c>
      <c r="M29" s="42">
        <v>1</v>
      </c>
      <c r="N29" s="42">
        <v>3</v>
      </c>
      <c r="O29" s="53">
        <f>SUM(K29:N29)</f>
        <v>5</v>
      </c>
      <c r="P29" s="42">
        <v>1</v>
      </c>
      <c r="Q29" s="42"/>
      <c r="R29" s="42"/>
      <c r="S29" s="42"/>
      <c r="T29" s="53">
        <f t="shared" ref="T29:T30" si="5">SUM(P29:S29)</f>
        <v>1</v>
      </c>
      <c r="U29" s="42"/>
      <c r="V29" s="42"/>
      <c r="W29" s="42"/>
      <c r="X29" s="42"/>
      <c r="Y29" s="53">
        <f t="shared" ref="Y29:Y30" si="6">SUM(U29:X29)</f>
        <v>0</v>
      </c>
      <c r="Z29" s="15">
        <f t="shared" ref="Z29:Z44" si="7">SUM(O29+T29+Y29)</f>
        <v>6</v>
      </c>
      <c r="AA29" s="26">
        <f>SUM(Z29/J29)</f>
        <v>1</v>
      </c>
      <c r="AB29" s="13"/>
      <c r="AJ29" s="1"/>
    </row>
    <row r="30" spans="2:36" ht="25.5" x14ac:dyDescent="0.2">
      <c r="B30" s="5"/>
      <c r="C30" s="123"/>
      <c r="D30" s="124"/>
      <c r="E30" s="125"/>
      <c r="F30" s="21"/>
      <c r="G30" s="41" t="s">
        <v>25</v>
      </c>
      <c r="H30" s="12" t="s">
        <v>19</v>
      </c>
      <c r="I30" s="42">
        <v>6</v>
      </c>
      <c r="J30" s="42">
        <f t="shared" ref="J30:J44" si="8">I30</f>
        <v>6</v>
      </c>
      <c r="K30" s="42">
        <v>0</v>
      </c>
      <c r="L30" s="42">
        <v>0</v>
      </c>
      <c r="M30" s="42">
        <v>0</v>
      </c>
      <c r="N30" s="42">
        <v>0</v>
      </c>
      <c r="O30" s="53">
        <f t="shared" ref="O30" si="9">SUM(K30:N30)</f>
        <v>0</v>
      </c>
      <c r="P30" s="42">
        <v>0</v>
      </c>
      <c r="Q30" s="42"/>
      <c r="R30" s="42"/>
      <c r="S30" s="42"/>
      <c r="T30" s="53">
        <f t="shared" si="5"/>
        <v>0</v>
      </c>
      <c r="U30" s="42"/>
      <c r="V30" s="42"/>
      <c r="W30" s="42"/>
      <c r="X30" s="42"/>
      <c r="Y30" s="53">
        <f t="shared" si="6"/>
        <v>0</v>
      </c>
      <c r="Z30" s="15">
        <f t="shared" si="7"/>
        <v>0</v>
      </c>
      <c r="AA30" s="26">
        <f t="shared" ref="AA30:AA44" si="10">SUM(Z30/J30)</f>
        <v>0</v>
      </c>
      <c r="AB30" s="13"/>
      <c r="AJ30" s="1"/>
    </row>
    <row r="31" spans="2:36" ht="25.5" x14ac:dyDescent="0.2">
      <c r="B31" s="5"/>
      <c r="C31" s="123"/>
      <c r="D31" s="124"/>
      <c r="E31" s="125"/>
      <c r="F31" s="21"/>
      <c r="G31" s="41" t="s">
        <v>55</v>
      </c>
      <c r="H31" s="12" t="s">
        <v>19</v>
      </c>
      <c r="I31" s="42">
        <v>6564</v>
      </c>
      <c r="J31" s="42">
        <f t="shared" si="8"/>
        <v>6564</v>
      </c>
      <c r="K31" s="42">
        <v>565</v>
      </c>
      <c r="L31" s="42">
        <v>556</v>
      </c>
      <c r="M31" s="42">
        <v>731</v>
      </c>
      <c r="N31" s="42">
        <v>437</v>
      </c>
      <c r="O31" s="53">
        <f>K31+L31+M31+N31</f>
        <v>2289</v>
      </c>
      <c r="P31" s="42">
        <v>732</v>
      </c>
      <c r="Q31" s="42"/>
      <c r="R31" s="42"/>
      <c r="S31" s="42"/>
      <c r="T31" s="53">
        <f>P31+Q31+R31+S31</f>
        <v>732</v>
      </c>
      <c r="U31" s="42"/>
      <c r="V31" s="42"/>
      <c r="W31" s="42"/>
      <c r="X31" s="42"/>
      <c r="Y31" s="53">
        <f>U31+V31+W31+X31</f>
        <v>0</v>
      </c>
      <c r="Z31" s="15">
        <f t="shared" si="7"/>
        <v>3021</v>
      </c>
      <c r="AA31" s="26">
        <f t="shared" si="10"/>
        <v>0.46023765996343691</v>
      </c>
      <c r="AB31" s="13"/>
      <c r="AJ31" s="1"/>
    </row>
    <row r="32" spans="2:36" ht="24" customHeight="1" x14ac:dyDescent="0.2">
      <c r="B32" s="5"/>
      <c r="C32" s="123"/>
      <c r="D32" s="124"/>
      <c r="E32" s="125"/>
      <c r="F32" s="21"/>
      <c r="G32" s="41" t="s">
        <v>56</v>
      </c>
      <c r="H32" s="12" t="s">
        <v>19</v>
      </c>
      <c r="I32" s="42">
        <v>3900</v>
      </c>
      <c r="J32" s="42">
        <f t="shared" si="8"/>
        <v>3900</v>
      </c>
      <c r="K32" s="42">
        <v>333</v>
      </c>
      <c r="L32" s="42">
        <v>355</v>
      </c>
      <c r="M32" s="42">
        <v>468</v>
      </c>
      <c r="N32" s="42">
        <v>296</v>
      </c>
      <c r="O32" s="53">
        <f t="shared" ref="O32:O44" si="11">K32+L32+M32+N32</f>
        <v>1452</v>
      </c>
      <c r="P32" s="42">
        <v>388</v>
      </c>
      <c r="Q32" s="42"/>
      <c r="R32" s="42"/>
      <c r="S32" s="42"/>
      <c r="T32" s="53">
        <f t="shared" ref="T32:T44" si="12">P32+Q32+R32+S32</f>
        <v>388</v>
      </c>
      <c r="U32" s="42"/>
      <c r="V32" s="42"/>
      <c r="W32" s="42"/>
      <c r="X32" s="42"/>
      <c r="Y32" s="53">
        <f t="shared" ref="Y32:Y44" si="13">U32+V32+W32+X32</f>
        <v>0</v>
      </c>
      <c r="Z32" s="15">
        <f t="shared" si="7"/>
        <v>1840</v>
      </c>
      <c r="AA32" s="26">
        <f t="shared" si="10"/>
        <v>0.47179487179487178</v>
      </c>
      <c r="AB32" s="13"/>
      <c r="AJ32" s="1"/>
    </row>
    <row r="33" spans="2:36" ht="25.5" x14ac:dyDescent="0.2">
      <c r="B33" s="5"/>
      <c r="C33" s="123"/>
      <c r="D33" s="124"/>
      <c r="E33" s="125"/>
      <c r="F33" s="21"/>
      <c r="G33" s="41" t="s">
        <v>57</v>
      </c>
      <c r="H33" s="12" t="s">
        <v>19</v>
      </c>
      <c r="I33" s="42">
        <v>9312</v>
      </c>
      <c r="J33" s="42">
        <f t="shared" si="8"/>
        <v>9312</v>
      </c>
      <c r="K33" s="42">
        <v>776</v>
      </c>
      <c r="L33" s="42">
        <v>599</v>
      </c>
      <c r="M33" s="42">
        <v>847</v>
      </c>
      <c r="N33" s="42">
        <v>557</v>
      </c>
      <c r="O33" s="53">
        <f t="shared" si="11"/>
        <v>2779</v>
      </c>
      <c r="P33" s="42">
        <v>860</v>
      </c>
      <c r="Q33" s="42"/>
      <c r="R33" s="42"/>
      <c r="S33" s="42"/>
      <c r="T33" s="53">
        <f t="shared" si="12"/>
        <v>860</v>
      </c>
      <c r="U33" s="42"/>
      <c r="V33" s="42"/>
      <c r="W33" s="42"/>
      <c r="X33" s="42"/>
      <c r="Y33" s="53">
        <f t="shared" si="13"/>
        <v>0</v>
      </c>
      <c r="Z33" s="15">
        <f t="shared" si="7"/>
        <v>3639</v>
      </c>
      <c r="AA33" s="26">
        <f t="shared" si="10"/>
        <v>0.3907860824742268</v>
      </c>
      <c r="AB33" s="13"/>
      <c r="AJ33" s="1"/>
    </row>
    <row r="34" spans="2:36" ht="25.5" x14ac:dyDescent="0.2">
      <c r="B34" s="5"/>
      <c r="C34" s="123"/>
      <c r="D34" s="124"/>
      <c r="E34" s="125"/>
      <c r="F34" s="21"/>
      <c r="G34" s="41" t="s">
        <v>58</v>
      </c>
      <c r="H34" s="12" t="s">
        <v>19</v>
      </c>
      <c r="I34" s="42">
        <v>16164</v>
      </c>
      <c r="J34" s="42">
        <f t="shared" si="8"/>
        <v>16164</v>
      </c>
      <c r="K34" s="42">
        <v>1312</v>
      </c>
      <c r="L34" s="42">
        <v>1486</v>
      </c>
      <c r="M34" s="42">
        <v>1741</v>
      </c>
      <c r="N34" s="42">
        <v>1118</v>
      </c>
      <c r="O34" s="53">
        <f t="shared" si="11"/>
        <v>5657</v>
      </c>
      <c r="P34" s="42">
        <v>1508</v>
      </c>
      <c r="Q34" s="42"/>
      <c r="R34" s="42"/>
      <c r="S34" s="42"/>
      <c r="T34" s="53">
        <f t="shared" si="12"/>
        <v>1508</v>
      </c>
      <c r="U34" s="42"/>
      <c r="V34" s="42"/>
      <c r="W34" s="42"/>
      <c r="X34" s="42"/>
      <c r="Y34" s="53">
        <f t="shared" si="13"/>
        <v>0</v>
      </c>
      <c r="Z34" s="15">
        <f t="shared" si="7"/>
        <v>7165</v>
      </c>
      <c r="AA34" s="26">
        <f t="shared" si="10"/>
        <v>0.44326899282355853</v>
      </c>
      <c r="AB34" s="13"/>
      <c r="AJ34" s="1"/>
    </row>
    <row r="35" spans="2:36" ht="25.5" x14ac:dyDescent="0.2">
      <c r="B35" s="5"/>
      <c r="C35" s="123"/>
      <c r="D35" s="124"/>
      <c r="E35" s="125"/>
      <c r="F35" s="21"/>
      <c r="G35" s="41" t="s">
        <v>59</v>
      </c>
      <c r="H35" s="12" t="s">
        <v>19</v>
      </c>
      <c r="I35" s="42">
        <v>36060</v>
      </c>
      <c r="J35" s="42">
        <f t="shared" si="8"/>
        <v>36060</v>
      </c>
      <c r="K35" s="42">
        <v>3352</v>
      </c>
      <c r="L35" s="42">
        <v>3158</v>
      </c>
      <c r="M35" s="42">
        <v>3719</v>
      </c>
      <c r="N35" s="42">
        <v>2668</v>
      </c>
      <c r="O35" s="53">
        <f t="shared" si="11"/>
        <v>12897</v>
      </c>
      <c r="P35" s="42">
        <v>3747</v>
      </c>
      <c r="Q35" s="42"/>
      <c r="R35" s="42"/>
      <c r="S35" s="42"/>
      <c r="T35" s="53">
        <f t="shared" si="12"/>
        <v>3747</v>
      </c>
      <c r="U35" s="42"/>
      <c r="V35" s="42"/>
      <c r="W35" s="42"/>
      <c r="X35" s="42"/>
      <c r="Y35" s="53">
        <f t="shared" si="13"/>
        <v>0</v>
      </c>
      <c r="Z35" s="15">
        <f t="shared" si="7"/>
        <v>16644</v>
      </c>
      <c r="AA35" s="26">
        <f t="shared" si="10"/>
        <v>0.46156405990016641</v>
      </c>
      <c r="AB35" s="13"/>
      <c r="AJ35" s="1"/>
    </row>
    <row r="36" spans="2:36" ht="25.5" x14ac:dyDescent="0.2">
      <c r="B36" s="5"/>
      <c r="C36" s="123"/>
      <c r="D36" s="124"/>
      <c r="E36" s="125"/>
      <c r="F36" s="21"/>
      <c r="G36" s="41" t="s">
        <v>60</v>
      </c>
      <c r="H36" s="12" t="s">
        <v>19</v>
      </c>
      <c r="I36" s="42">
        <v>6444</v>
      </c>
      <c r="J36" s="42">
        <f t="shared" si="8"/>
        <v>6444</v>
      </c>
      <c r="K36" s="42">
        <v>422</v>
      </c>
      <c r="L36" s="42">
        <v>550</v>
      </c>
      <c r="M36" s="42">
        <v>672</v>
      </c>
      <c r="N36" s="42">
        <v>445</v>
      </c>
      <c r="O36" s="53">
        <f t="shared" si="11"/>
        <v>2089</v>
      </c>
      <c r="P36" s="42">
        <v>548</v>
      </c>
      <c r="Q36" s="42"/>
      <c r="R36" s="42"/>
      <c r="S36" s="42"/>
      <c r="T36" s="53">
        <f t="shared" si="12"/>
        <v>548</v>
      </c>
      <c r="U36" s="42"/>
      <c r="V36" s="42"/>
      <c r="W36" s="42"/>
      <c r="X36" s="42"/>
      <c r="Y36" s="53">
        <f t="shared" si="13"/>
        <v>0</v>
      </c>
      <c r="Z36" s="15">
        <f t="shared" si="7"/>
        <v>2637</v>
      </c>
      <c r="AA36" s="26">
        <f t="shared" si="10"/>
        <v>0.40921787709497209</v>
      </c>
      <c r="AB36" s="13"/>
      <c r="AJ36" s="1"/>
    </row>
    <row r="37" spans="2:36" ht="24" customHeight="1" x14ac:dyDescent="0.2">
      <c r="B37" s="5"/>
      <c r="C37" s="123"/>
      <c r="D37" s="124"/>
      <c r="E37" s="125"/>
      <c r="F37" s="21"/>
      <c r="G37" s="41" t="s">
        <v>61</v>
      </c>
      <c r="H37" s="12" t="s">
        <v>19</v>
      </c>
      <c r="I37" s="42">
        <v>3936</v>
      </c>
      <c r="J37" s="42">
        <f t="shared" si="8"/>
        <v>3936</v>
      </c>
      <c r="K37" s="42">
        <v>511</v>
      </c>
      <c r="L37" s="42">
        <v>475</v>
      </c>
      <c r="M37" s="42">
        <v>451</v>
      </c>
      <c r="N37" s="42">
        <v>242</v>
      </c>
      <c r="O37" s="53">
        <f t="shared" si="11"/>
        <v>1679</v>
      </c>
      <c r="P37" s="42">
        <v>461</v>
      </c>
      <c r="Q37" s="42"/>
      <c r="R37" s="42"/>
      <c r="S37" s="42"/>
      <c r="T37" s="53">
        <f t="shared" si="12"/>
        <v>461</v>
      </c>
      <c r="U37" s="42"/>
      <c r="V37" s="42"/>
      <c r="W37" s="42"/>
      <c r="X37" s="42"/>
      <c r="Y37" s="53">
        <f t="shared" si="13"/>
        <v>0</v>
      </c>
      <c r="Z37" s="15">
        <f t="shared" si="7"/>
        <v>2140</v>
      </c>
      <c r="AA37" s="26">
        <f t="shared" si="10"/>
        <v>0.54369918699186992</v>
      </c>
      <c r="AB37" s="13"/>
      <c r="AJ37" s="1"/>
    </row>
    <row r="38" spans="2:36" ht="25.5" x14ac:dyDescent="0.2">
      <c r="B38" s="5"/>
      <c r="C38" s="123"/>
      <c r="D38" s="124"/>
      <c r="E38" s="125"/>
      <c r="F38" s="21"/>
      <c r="G38" s="41" t="s">
        <v>62</v>
      </c>
      <c r="H38" s="12" t="s">
        <v>19</v>
      </c>
      <c r="I38" s="42">
        <v>24984</v>
      </c>
      <c r="J38" s="42">
        <f t="shared" si="8"/>
        <v>24984</v>
      </c>
      <c r="K38" s="42">
        <v>2810</v>
      </c>
      <c r="L38" s="42">
        <v>2406</v>
      </c>
      <c r="M38" s="42">
        <v>2780</v>
      </c>
      <c r="N38" s="42">
        <v>1892</v>
      </c>
      <c r="O38" s="53">
        <f t="shared" si="11"/>
        <v>9888</v>
      </c>
      <c r="P38" s="42">
        <v>2644</v>
      </c>
      <c r="Q38" s="42"/>
      <c r="R38" s="42"/>
      <c r="S38" s="42"/>
      <c r="T38" s="53">
        <f t="shared" si="12"/>
        <v>2644</v>
      </c>
      <c r="U38" s="42"/>
      <c r="V38" s="42"/>
      <c r="W38" s="42"/>
      <c r="X38" s="42"/>
      <c r="Y38" s="53">
        <f t="shared" si="13"/>
        <v>0</v>
      </c>
      <c r="Z38" s="15">
        <f t="shared" si="7"/>
        <v>12532</v>
      </c>
      <c r="AA38" s="26">
        <f t="shared" si="10"/>
        <v>0.50160102465577971</v>
      </c>
      <c r="AB38" s="13"/>
      <c r="AJ38" s="1"/>
    </row>
    <row r="39" spans="2:36" ht="24" customHeight="1" x14ac:dyDescent="0.2">
      <c r="B39" s="5"/>
      <c r="C39" s="123"/>
      <c r="D39" s="124"/>
      <c r="E39" s="125"/>
      <c r="F39" s="21"/>
      <c r="G39" s="41" t="s">
        <v>63</v>
      </c>
      <c r="H39" s="12" t="s">
        <v>19</v>
      </c>
      <c r="I39" s="42">
        <v>1872</v>
      </c>
      <c r="J39" s="42">
        <f t="shared" si="8"/>
        <v>1872</v>
      </c>
      <c r="K39" s="42">
        <v>100</v>
      </c>
      <c r="L39" s="42">
        <v>111</v>
      </c>
      <c r="M39" s="42">
        <v>194</v>
      </c>
      <c r="N39" s="42">
        <v>131</v>
      </c>
      <c r="O39" s="53">
        <f t="shared" si="11"/>
        <v>536</v>
      </c>
      <c r="P39" s="42">
        <v>168</v>
      </c>
      <c r="Q39" s="42"/>
      <c r="R39" s="42"/>
      <c r="S39" s="42"/>
      <c r="T39" s="53">
        <f t="shared" si="12"/>
        <v>168</v>
      </c>
      <c r="U39" s="42"/>
      <c r="V39" s="42"/>
      <c r="W39" s="42"/>
      <c r="X39" s="42"/>
      <c r="Y39" s="53">
        <f t="shared" si="13"/>
        <v>0</v>
      </c>
      <c r="Z39" s="15">
        <f t="shared" si="7"/>
        <v>704</v>
      </c>
      <c r="AA39" s="26">
        <f t="shared" si="10"/>
        <v>0.37606837606837606</v>
      </c>
      <c r="AB39" s="13"/>
      <c r="AJ39" s="1"/>
    </row>
    <row r="40" spans="2:36" ht="24" customHeight="1" x14ac:dyDescent="0.2">
      <c r="B40" s="5"/>
      <c r="C40" s="123"/>
      <c r="D40" s="124"/>
      <c r="E40" s="125"/>
      <c r="F40" s="21"/>
      <c r="G40" s="41" t="s">
        <v>26</v>
      </c>
      <c r="H40" s="12" t="s">
        <v>19</v>
      </c>
      <c r="I40" s="42">
        <v>252</v>
      </c>
      <c r="J40" s="42">
        <f t="shared" si="8"/>
        <v>252</v>
      </c>
      <c r="K40" s="42">
        <v>21</v>
      </c>
      <c r="L40" s="42">
        <v>12</v>
      </c>
      <c r="M40" s="42">
        <v>10</v>
      </c>
      <c r="N40" s="42">
        <v>4</v>
      </c>
      <c r="O40" s="53">
        <f t="shared" si="11"/>
        <v>47</v>
      </c>
      <c r="P40" s="42">
        <v>15</v>
      </c>
      <c r="Q40" s="42"/>
      <c r="R40" s="42"/>
      <c r="S40" s="42"/>
      <c r="T40" s="53">
        <f t="shared" si="12"/>
        <v>15</v>
      </c>
      <c r="U40" s="42"/>
      <c r="V40" s="42"/>
      <c r="W40" s="42"/>
      <c r="X40" s="42"/>
      <c r="Y40" s="53">
        <f t="shared" si="13"/>
        <v>0</v>
      </c>
      <c r="Z40" s="15">
        <f t="shared" si="7"/>
        <v>62</v>
      </c>
      <c r="AA40" s="26">
        <f t="shared" si="10"/>
        <v>0.24603174603174602</v>
      </c>
      <c r="AB40" s="13"/>
      <c r="AJ40" s="1"/>
    </row>
    <row r="41" spans="2:36" ht="24" customHeight="1" x14ac:dyDescent="0.2">
      <c r="B41" s="5"/>
      <c r="C41" s="123"/>
      <c r="D41" s="124"/>
      <c r="E41" s="125"/>
      <c r="F41" s="21"/>
      <c r="G41" s="17" t="s">
        <v>64</v>
      </c>
      <c r="H41" s="12" t="s">
        <v>19</v>
      </c>
      <c r="I41" s="42">
        <v>113760</v>
      </c>
      <c r="J41" s="42">
        <f t="shared" si="8"/>
        <v>113760</v>
      </c>
      <c r="K41" s="42">
        <v>9213</v>
      </c>
      <c r="L41" s="42">
        <v>8833</v>
      </c>
      <c r="M41" s="42">
        <v>9882</v>
      </c>
      <c r="N41" s="42">
        <v>7079</v>
      </c>
      <c r="O41" s="53">
        <f t="shared" si="11"/>
        <v>35007</v>
      </c>
      <c r="P41" s="42">
        <v>9390</v>
      </c>
      <c r="Q41" s="42"/>
      <c r="R41" s="42"/>
      <c r="S41" s="42"/>
      <c r="T41" s="53">
        <f t="shared" si="12"/>
        <v>9390</v>
      </c>
      <c r="U41" s="42"/>
      <c r="V41" s="42"/>
      <c r="W41" s="42"/>
      <c r="X41" s="42"/>
      <c r="Y41" s="53">
        <f t="shared" si="13"/>
        <v>0</v>
      </c>
      <c r="Z41" s="15">
        <f t="shared" si="7"/>
        <v>44397</v>
      </c>
      <c r="AA41" s="26">
        <f t="shared" si="10"/>
        <v>0.39026898734177218</v>
      </c>
      <c r="AB41" s="13"/>
      <c r="AJ41" s="1"/>
    </row>
    <row r="42" spans="2:36" ht="24" customHeight="1" x14ac:dyDescent="0.2">
      <c r="B42" s="5"/>
      <c r="C42" s="123"/>
      <c r="D42" s="124"/>
      <c r="E42" s="125"/>
      <c r="F42" s="21"/>
      <c r="G42" s="45" t="s">
        <v>65</v>
      </c>
      <c r="H42" s="12" t="s">
        <v>66</v>
      </c>
      <c r="I42" s="42">
        <v>35592</v>
      </c>
      <c r="J42" s="42">
        <f t="shared" si="8"/>
        <v>35592</v>
      </c>
      <c r="K42" s="42">
        <v>2924</v>
      </c>
      <c r="L42" s="42">
        <v>2932</v>
      </c>
      <c r="M42" s="42">
        <v>3668</v>
      </c>
      <c r="N42" s="42">
        <v>2591</v>
      </c>
      <c r="O42" s="53">
        <f t="shared" si="11"/>
        <v>12115</v>
      </c>
      <c r="P42" s="42">
        <v>3323</v>
      </c>
      <c r="Q42" s="42"/>
      <c r="R42" s="42"/>
      <c r="S42" s="42"/>
      <c r="T42" s="53">
        <f t="shared" si="12"/>
        <v>3323</v>
      </c>
      <c r="U42" s="42"/>
      <c r="V42" s="42"/>
      <c r="W42" s="42"/>
      <c r="X42" s="42"/>
      <c r="Y42" s="53">
        <f t="shared" si="13"/>
        <v>0</v>
      </c>
      <c r="Z42" s="15">
        <f t="shared" si="7"/>
        <v>15438</v>
      </c>
      <c r="AA42" s="26">
        <f t="shared" si="10"/>
        <v>0.43374915711395817</v>
      </c>
      <c r="AB42" s="13"/>
      <c r="AJ42" s="1"/>
    </row>
    <row r="43" spans="2:36" ht="25.5" x14ac:dyDescent="0.2">
      <c r="B43" s="5"/>
      <c r="C43" s="123"/>
      <c r="D43" s="124"/>
      <c r="E43" s="125"/>
      <c r="F43" s="21"/>
      <c r="G43" s="45" t="s">
        <v>67</v>
      </c>
      <c r="H43" s="12" t="s">
        <v>19</v>
      </c>
      <c r="I43" s="42">
        <v>48</v>
      </c>
      <c r="J43" s="42">
        <f t="shared" si="8"/>
        <v>48</v>
      </c>
      <c r="K43" s="42">
        <v>2</v>
      </c>
      <c r="L43" s="42">
        <v>4</v>
      </c>
      <c r="M43" s="42">
        <v>7</v>
      </c>
      <c r="N43" s="42">
        <v>2</v>
      </c>
      <c r="O43" s="53">
        <f t="shared" si="11"/>
        <v>15</v>
      </c>
      <c r="P43" s="42">
        <v>8</v>
      </c>
      <c r="Q43" s="42"/>
      <c r="R43" s="42"/>
      <c r="S43" s="42"/>
      <c r="T43" s="53">
        <f t="shared" si="12"/>
        <v>8</v>
      </c>
      <c r="U43" s="42"/>
      <c r="V43" s="42"/>
      <c r="W43" s="42"/>
      <c r="X43" s="42"/>
      <c r="Y43" s="53">
        <f t="shared" si="13"/>
        <v>0</v>
      </c>
      <c r="Z43" s="15">
        <f t="shared" si="7"/>
        <v>23</v>
      </c>
      <c r="AA43" s="26">
        <f t="shared" si="10"/>
        <v>0.47916666666666669</v>
      </c>
      <c r="AB43" s="13"/>
      <c r="AJ43" s="1"/>
    </row>
    <row r="44" spans="2:36" ht="38.25" x14ac:dyDescent="0.2">
      <c r="B44" s="46"/>
      <c r="C44" s="78"/>
      <c r="D44" s="79"/>
      <c r="E44" s="80"/>
      <c r="F44" s="21"/>
      <c r="G44" s="47" t="s">
        <v>69</v>
      </c>
      <c r="H44" s="48" t="s">
        <v>66</v>
      </c>
      <c r="I44" s="42">
        <v>34740</v>
      </c>
      <c r="J44" s="42">
        <f t="shared" si="8"/>
        <v>34740</v>
      </c>
      <c r="K44" s="49">
        <v>0</v>
      </c>
      <c r="L44" s="49">
        <v>2855</v>
      </c>
      <c r="M44" s="49">
        <v>3598</v>
      </c>
      <c r="N44" s="49">
        <v>2602</v>
      </c>
      <c r="O44" s="53">
        <f t="shared" si="11"/>
        <v>9055</v>
      </c>
      <c r="P44" s="49">
        <v>3283</v>
      </c>
      <c r="Q44" s="49"/>
      <c r="R44" s="49"/>
      <c r="S44" s="49"/>
      <c r="T44" s="53">
        <f t="shared" si="12"/>
        <v>3283</v>
      </c>
      <c r="U44" s="49"/>
      <c r="V44" s="49"/>
      <c r="W44" s="49"/>
      <c r="X44" s="49"/>
      <c r="Y44" s="53">
        <f t="shared" si="13"/>
        <v>0</v>
      </c>
      <c r="Z44" s="15">
        <f t="shared" si="7"/>
        <v>12338</v>
      </c>
      <c r="AA44" s="26">
        <f t="shared" si="10"/>
        <v>0.35515256188831318</v>
      </c>
      <c r="AB44" s="13"/>
      <c r="AJ44" s="1"/>
    </row>
    <row r="45" spans="2:36" ht="26.25" customHeight="1" x14ac:dyDescent="0.3">
      <c r="B45" s="25"/>
      <c r="C45" s="134" t="s">
        <v>93</v>
      </c>
      <c r="D45" s="135"/>
      <c r="E45" s="135"/>
      <c r="F45" s="135"/>
      <c r="G45" s="135"/>
      <c r="H45" s="135"/>
      <c r="I45" s="135"/>
      <c r="J45" s="135"/>
      <c r="K45" s="135"/>
      <c r="L45" s="135"/>
      <c r="M45" s="135"/>
      <c r="N45" s="135"/>
      <c r="O45" s="135"/>
      <c r="P45" s="135"/>
      <c r="Q45" s="135"/>
      <c r="R45" s="135"/>
      <c r="S45" s="135"/>
      <c r="T45" s="135"/>
      <c r="U45" s="135"/>
      <c r="V45" s="135"/>
      <c r="W45" s="135"/>
      <c r="X45" s="135"/>
      <c r="Y45" s="135"/>
      <c r="Z45" s="135"/>
      <c r="AA45" s="135"/>
      <c r="AB45" s="135"/>
      <c r="AC45" s="2"/>
      <c r="AD45" s="2"/>
      <c r="AE45" s="2"/>
      <c r="AF45" s="2"/>
      <c r="AG45" s="2"/>
      <c r="AH45" s="2"/>
      <c r="AI45" s="2"/>
    </row>
    <row r="46" spans="2:36" x14ac:dyDescent="0.2">
      <c r="AB46" s="19"/>
    </row>
  </sheetData>
  <mergeCells count="58">
    <mergeCell ref="B8:D8"/>
    <mergeCell ref="E8:AB8"/>
    <mergeCell ref="B4:AB4"/>
    <mergeCell ref="B5:AB5"/>
    <mergeCell ref="B6:AB6"/>
    <mergeCell ref="B7:D7"/>
    <mergeCell ref="E7:AB7"/>
    <mergeCell ref="B15:E15"/>
    <mergeCell ref="F15:AB15"/>
    <mergeCell ref="B9:D9"/>
    <mergeCell ref="E9:AB9"/>
    <mergeCell ref="B10:D10"/>
    <mergeCell ref="E10:AB10"/>
    <mergeCell ref="B11:D11"/>
    <mergeCell ref="E11:AB11"/>
    <mergeCell ref="B12:AB12"/>
    <mergeCell ref="B13:E13"/>
    <mergeCell ref="F13:AB13"/>
    <mergeCell ref="B14:E14"/>
    <mergeCell ref="F14:AB14"/>
    <mergeCell ref="B19:B21"/>
    <mergeCell ref="C19:E21"/>
    <mergeCell ref="F19:F21"/>
    <mergeCell ref="G19:G21"/>
    <mergeCell ref="H19:H21"/>
    <mergeCell ref="B16:AB16"/>
    <mergeCell ref="B17:E17"/>
    <mergeCell ref="F17:AB17"/>
    <mergeCell ref="B18:E18"/>
    <mergeCell ref="F18:AB18"/>
    <mergeCell ref="I19:I21"/>
    <mergeCell ref="J19:J21"/>
    <mergeCell ref="K19:AB19"/>
    <mergeCell ref="K20:N20"/>
    <mergeCell ref="P20:S20"/>
    <mergeCell ref="U20:X20"/>
    <mergeCell ref="Z20:AA20"/>
    <mergeCell ref="C35:E35"/>
    <mergeCell ref="C22:E22"/>
    <mergeCell ref="C23:E23"/>
    <mergeCell ref="C24:E24"/>
    <mergeCell ref="C25:E25"/>
    <mergeCell ref="C26:E26"/>
    <mergeCell ref="C29:E29"/>
    <mergeCell ref="C30:E30"/>
    <mergeCell ref="C31:E31"/>
    <mergeCell ref="C32:E32"/>
    <mergeCell ref="C33:E33"/>
    <mergeCell ref="C34:E34"/>
    <mergeCell ref="C42:E42"/>
    <mergeCell ref="C43:E43"/>
    <mergeCell ref="C45:AB45"/>
    <mergeCell ref="C36:E36"/>
    <mergeCell ref="C37:E37"/>
    <mergeCell ref="C38:E38"/>
    <mergeCell ref="C39:E39"/>
    <mergeCell ref="C40:E40"/>
    <mergeCell ref="C41:E41"/>
  </mergeCells>
  <printOptions horizontalCentered="1" verticalCentered="1"/>
  <pageMargins left="0.19685039370078741" right="0.19685039370078741" top="0.19685039370078741" bottom="0.78740157480314965" header="0.39370078740157483" footer="0.39370078740157483"/>
  <pageSetup scale="44" orientation="landscape" r:id="rId1"/>
  <headerFooter>
    <oddFooter>&amp;C&amp;9PLAN OPERATIVO ANUAL, 2023&amp;R&amp;P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MATRIZ 2022</vt:lpstr>
      <vt:lpstr>MATRIZ 2023.</vt:lpstr>
      <vt:lpstr>REPROGRAMACION</vt:lpstr>
      <vt:lpstr>EJECUCION</vt:lpstr>
      <vt:lpstr>EJECUCION!Área_de_impresión</vt:lpstr>
      <vt:lpstr>'MATRIZ 2022'!Área_de_impresión</vt:lpstr>
      <vt:lpstr>'MATRIZ 2023.'!Área_de_impresión</vt:lpstr>
      <vt:lpstr>REPROGRAMACION!Área_de_impresión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Silvia Garcia</dc:creator>
  <cp:lastModifiedBy>dmjlopezq</cp:lastModifiedBy>
  <cp:lastPrinted>2023-06-02T15:20:50Z</cp:lastPrinted>
  <dcterms:created xsi:type="dcterms:W3CDTF">2019-01-08T14:24:40Z</dcterms:created>
  <dcterms:modified xsi:type="dcterms:W3CDTF">2023-06-02T16:59:52Z</dcterms:modified>
</cp:coreProperties>
</file>